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drawings/drawing7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8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Users\rmari\Downloads\"/>
    </mc:Choice>
  </mc:AlternateContent>
  <xr:revisionPtr revIDLastSave="0" documentId="13_ncr:1_{E6C6AC1D-EA6A-4169-80E4-6FACDCCC0350}" xr6:coauthVersionLast="47" xr6:coauthVersionMax="47" xr10:uidLastSave="{00000000-0000-0000-0000-000000000000}"/>
  <bookViews>
    <workbookView xWindow="-120" yWindow="-120" windowWidth="29040" windowHeight="15840" firstSheet="7" activeTab="7" xr2:uid="{00000000-000D-0000-FFFF-FFFF00000000}"/>
  </bookViews>
  <sheets>
    <sheet name="Dashboard" sheetId="1" state="hidden" r:id="rId1"/>
    <sheet name="Charts" sheetId="2" state="hidden" r:id="rId2"/>
    <sheet name="Stats" sheetId="3" state="hidden" r:id="rId3"/>
    <sheet name="Quant Rotation" sheetId="4" state="hidden" r:id="rId4"/>
    <sheet name="Quant Rotation Monthly Returns" sheetId="5" state="hidden" r:id="rId5"/>
    <sheet name="Quant Rotation Yearly Returns" sheetId="6" state="hidden" r:id="rId6"/>
    <sheet name="Quant Rotation Ledger" sheetId="7" state="hidden" r:id="rId7"/>
    <sheet name="Quant 6040" sheetId="8" r:id="rId8"/>
    <sheet name="Sheet20" sheetId="9" state="hidden" r:id="rId9"/>
    <sheet name="Quant 6040 Returns" sheetId="10" state="hidden" r:id="rId10"/>
    <sheet name="Quant 6040 Stats" sheetId="11" state="hidden" r:id="rId11"/>
    <sheet name="Quant 6040 Ledger" sheetId="12" state="hidden" r:id="rId12"/>
    <sheet name="GARP Ledger" sheetId="13" state="hidden" r:id="rId13"/>
    <sheet name="PowerStocks Ledger" sheetId="14" state="hidden" r:id="rId14"/>
    <sheet name="ETF Rotation STATS" sheetId="15" state="hidden" r:id="rId15"/>
  </sheets>
  <externalReferences>
    <externalReference r:id="rId16"/>
    <externalReference r:id="rId17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14" l="1"/>
  <c r="G42" i="14" s="1"/>
  <c r="G41" i="14"/>
  <c r="F41" i="14"/>
  <c r="G40" i="14"/>
  <c r="F40" i="14"/>
  <c r="G39" i="14"/>
  <c r="F39" i="14"/>
  <c r="F38" i="14"/>
  <c r="G38" i="14" s="1"/>
  <c r="F37" i="14"/>
  <c r="G37" i="14" s="1"/>
  <c r="G36" i="14"/>
  <c r="F36" i="14"/>
  <c r="F35" i="14"/>
  <c r="G35" i="14" s="1"/>
  <c r="F34" i="14"/>
  <c r="G34" i="14" s="1"/>
  <c r="G33" i="14"/>
  <c r="F33" i="14"/>
  <c r="G32" i="14"/>
  <c r="F32" i="14"/>
  <c r="F31" i="14"/>
  <c r="G31" i="14" s="1"/>
  <c r="F30" i="14"/>
  <c r="G30" i="14" s="1"/>
  <c r="F29" i="14"/>
  <c r="G29" i="14" s="1"/>
  <c r="F28" i="14"/>
  <c r="G28" i="14" s="1"/>
  <c r="G27" i="14"/>
  <c r="F27" i="14"/>
  <c r="G26" i="14"/>
  <c r="F26" i="14"/>
  <c r="G25" i="14"/>
  <c r="F25" i="14"/>
  <c r="G24" i="14"/>
  <c r="F24" i="14"/>
  <c r="G23" i="14"/>
  <c r="F23" i="14"/>
  <c r="G22" i="14"/>
  <c r="F22" i="14"/>
  <c r="F21" i="14"/>
  <c r="G21" i="14" s="1"/>
  <c r="F20" i="14"/>
  <c r="G20" i="14" s="1"/>
  <c r="F19" i="14"/>
  <c r="G19" i="14" s="1"/>
  <c r="F18" i="14"/>
  <c r="G18" i="14" s="1"/>
  <c r="G17" i="14"/>
  <c r="F17" i="14"/>
  <c r="G16" i="14"/>
  <c r="F16" i="14"/>
  <c r="G15" i="14"/>
  <c r="F15" i="14"/>
  <c r="F14" i="14"/>
  <c r="G14" i="14" s="1"/>
  <c r="G13" i="14"/>
  <c r="F13" i="14"/>
  <c r="F12" i="14"/>
  <c r="G12" i="14" s="1"/>
  <c r="G11" i="14"/>
  <c r="F11" i="14"/>
  <c r="G10" i="14"/>
  <c r="F10" i="14"/>
  <c r="G9" i="14"/>
  <c r="F9" i="14"/>
  <c r="F8" i="14"/>
  <c r="G8" i="14" s="1"/>
  <c r="G7" i="14"/>
  <c r="F7" i="14"/>
  <c r="F6" i="14"/>
  <c r="G6" i="14" s="1"/>
  <c r="F5" i="14"/>
  <c r="G5" i="14" s="1"/>
  <c r="F4" i="14"/>
  <c r="G4" i="14" s="1"/>
  <c r="F3" i="14"/>
  <c r="F40" i="13"/>
  <c r="G40" i="13" s="1"/>
  <c r="G39" i="13"/>
  <c r="F39" i="13"/>
  <c r="G38" i="13"/>
  <c r="F38" i="13"/>
  <c r="G37" i="13"/>
  <c r="F37" i="13"/>
  <c r="F36" i="13"/>
  <c r="G36" i="13" s="1"/>
  <c r="G35" i="13"/>
  <c r="F35" i="13"/>
  <c r="G34" i="13"/>
  <c r="F34" i="13"/>
  <c r="G33" i="13"/>
  <c r="F33" i="13"/>
  <c r="F32" i="13"/>
  <c r="G32" i="13" s="1"/>
  <c r="G31" i="13"/>
  <c r="F31" i="13"/>
  <c r="F30" i="13"/>
  <c r="G30" i="13" s="1"/>
  <c r="G29" i="13"/>
  <c r="F29" i="13"/>
  <c r="G28" i="13"/>
  <c r="F28" i="13"/>
  <c r="F27" i="13"/>
  <c r="G27" i="13" s="1"/>
  <c r="F26" i="13"/>
  <c r="G26" i="13" s="1"/>
  <c r="F25" i="13"/>
  <c r="G25" i="13" s="1"/>
  <c r="G24" i="13"/>
  <c r="F24" i="13"/>
  <c r="G23" i="13"/>
  <c r="F23" i="13"/>
  <c r="G22" i="13"/>
  <c r="F22" i="13"/>
  <c r="F21" i="13"/>
  <c r="G21" i="13" s="1"/>
  <c r="F20" i="13"/>
  <c r="G20" i="13" s="1"/>
  <c r="G19" i="13"/>
  <c r="F19" i="13"/>
  <c r="F18" i="13"/>
  <c r="G18" i="13" s="1"/>
  <c r="G17" i="13"/>
  <c r="F17" i="13"/>
  <c r="F16" i="13"/>
  <c r="G16" i="13" s="1"/>
  <c r="G15" i="13"/>
  <c r="F15" i="13"/>
  <c r="G14" i="13"/>
  <c r="F14" i="13"/>
  <c r="G13" i="13"/>
  <c r="F13" i="13"/>
  <c r="F12" i="13"/>
  <c r="G12" i="13" s="1"/>
  <c r="F11" i="13"/>
  <c r="G11" i="13" s="1"/>
  <c r="G10" i="13"/>
  <c r="F10" i="13"/>
  <c r="F9" i="13"/>
  <c r="G9" i="13" s="1"/>
  <c r="F8" i="13"/>
  <c r="G8" i="13" s="1"/>
  <c r="F7" i="13"/>
  <c r="G7" i="13" s="1"/>
  <c r="G6" i="13"/>
  <c r="F6" i="13"/>
  <c r="F5" i="13"/>
  <c r="G5" i="13" s="1"/>
  <c r="F4" i="13"/>
  <c r="G4" i="13" s="1"/>
  <c r="F3" i="13"/>
  <c r="F18" i="12"/>
  <c r="F17" i="12"/>
  <c r="F14" i="12"/>
  <c r="F13" i="12"/>
  <c r="F10" i="12"/>
  <c r="F9" i="12"/>
  <c r="F6" i="12"/>
  <c r="G6" i="12" s="1"/>
  <c r="G5" i="12"/>
  <c r="F5" i="12"/>
  <c r="E4" i="12"/>
  <c r="F4" i="12" s="1"/>
  <c r="G4" i="12" s="1"/>
  <c r="F3" i="12"/>
  <c r="E3" i="12"/>
  <c r="I3" i="11"/>
  <c r="H4" i="11" s="1"/>
  <c r="I4" i="11" s="1"/>
  <c r="H5" i="11" s="1"/>
  <c r="I5" i="11" s="1"/>
  <c r="H6" i="11" s="1"/>
  <c r="I6" i="11" s="1"/>
  <c r="H7" i="11" s="1"/>
  <c r="I7" i="11" s="1"/>
  <c r="H8" i="11" s="1"/>
  <c r="I8" i="11" s="1"/>
  <c r="H9" i="11" s="1"/>
  <c r="I9" i="11" s="1"/>
  <c r="H10" i="11" s="1"/>
  <c r="I10" i="11" s="1"/>
  <c r="H11" i="11" s="1"/>
  <c r="I11" i="11" s="1"/>
  <c r="H12" i="11" s="1"/>
  <c r="I12" i="11" s="1"/>
  <c r="H13" i="11" s="1"/>
  <c r="I13" i="11" s="1"/>
  <c r="H14" i="11" s="1"/>
  <c r="I14" i="11" s="1"/>
  <c r="H15" i="11" s="1"/>
  <c r="I15" i="11" s="1"/>
  <c r="H16" i="11" s="1"/>
  <c r="I16" i="11" s="1"/>
  <c r="H17" i="11" s="1"/>
  <c r="I17" i="11" s="1"/>
  <c r="H18" i="11" s="1"/>
  <c r="I18" i="11" s="1"/>
  <c r="H19" i="11" s="1"/>
  <c r="I19" i="11" s="1"/>
  <c r="H20" i="11" s="1"/>
  <c r="I20" i="11" s="1"/>
  <c r="H21" i="11" s="1"/>
  <c r="I21" i="11" s="1"/>
  <c r="H22" i="11" s="1"/>
  <c r="I22" i="11" s="1"/>
  <c r="H23" i="11" s="1"/>
  <c r="I23" i="11" s="1"/>
  <c r="H24" i="11" s="1"/>
  <c r="I24" i="11" s="1"/>
  <c r="H25" i="11" s="1"/>
  <c r="I25" i="11" s="1"/>
  <c r="H26" i="11" s="1"/>
  <c r="I26" i="11" s="1"/>
  <c r="H27" i="11" s="1"/>
  <c r="I27" i="11" s="1"/>
  <c r="H28" i="11" s="1"/>
  <c r="I28" i="11" s="1"/>
  <c r="H29" i="11" s="1"/>
  <c r="I29" i="11" s="1"/>
  <c r="H30" i="11" s="1"/>
  <c r="I30" i="11" s="1"/>
  <c r="H31" i="11" s="1"/>
  <c r="I31" i="11" s="1"/>
  <c r="H32" i="11" s="1"/>
  <c r="I32" i="11" s="1"/>
  <c r="H33" i="11" s="1"/>
  <c r="I33" i="11" s="1"/>
  <c r="H34" i="11" s="1"/>
  <c r="I34" i="11" s="1"/>
  <c r="H35" i="11" s="1"/>
  <c r="I35" i="11" s="1"/>
  <c r="H36" i="11" s="1"/>
  <c r="I36" i="11" s="1"/>
  <c r="H37" i="11" s="1"/>
  <c r="I37" i="11" s="1"/>
  <c r="H38" i="11" s="1"/>
  <c r="I38" i="11" s="1"/>
  <c r="H39" i="11" s="1"/>
  <c r="I39" i="11" s="1"/>
  <c r="H40" i="11" s="1"/>
  <c r="I40" i="11" s="1"/>
  <c r="H41" i="11" s="1"/>
  <c r="I41" i="11" s="1"/>
  <c r="H42" i="11" s="1"/>
  <c r="I42" i="11" s="1"/>
  <c r="H43" i="11" s="1"/>
  <c r="I43" i="11" s="1"/>
  <c r="H44" i="11" s="1"/>
  <c r="I44" i="11" s="1"/>
  <c r="H45" i="11" s="1"/>
  <c r="I45" i="11" s="1"/>
  <c r="H46" i="11" s="1"/>
  <c r="I46" i="11" s="1"/>
  <c r="H47" i="11" s="1"/>
  <c r="I47" i="11" s="1"/>
  <c r="H48" i="11" s="1"/>
  <c r="I48" i="11" s="1"/>
  <c r="H49" i="11" s="1"/>
  <c r="I49" i="11" s="1"/>
  <c r="H50" i="11" s="1"/>
  <c r="I50" i="11" s="1"/>
  <c r="H51" i="11" s="1"/>
  <c r="I51" i="11" s="1"/>
  <c r="H52" i="11" s="1"/>
  <c r="I52" i="11" s="1"/>
  <c r="H53" i="11" s="1"/>
  <c r="I53" i="11" s="1"/>
  <c r="H54" i="11" s="1"/>
  <c r="I54" i="11" s="1"/>
  <c r="H55" i="11" s="1"/>
  <c r="I55" i="11" s="1"/>
  <c r="H56" i="11" s="1"/>
  <c r="I56" i="11" s="1"/>
  <c r="H57" i="11" s="1"/>
  <c r="I57" i="11" s="1"/>
  <c r="H58" i="11" s="1"/>
  <c r="I58" i="11" s="1"/>
  <c r="H59" i="11" s="1"/>
  <c r="I59" i="11" s="1"/>
  <c r="H60" i="11" s="1"/>
  <c r="I60" i="11" s="1"/>
  <c r="H61" i="11" s="1"/>
  <c r="I61" i="11" s="1"/>
  <c r="H62" i="11" s="1"/>
  <c r="I62" i="11" s="1"/>
  <c r="H63" i="11" s="1"/>
  <c r="I63" i="11" s="1"/>
  <c r="H64" i="11" s="1"/>
  <c r="I64" i="11" s="1"/>
  <c r="H65" i="11" s="1"/>
  <c r="I65" i="11" s="1"/>
  <c r="H66" i="11" s="1"/>
  <c r="I66" i="11" s="1"/>
  <c r="H67" i="11" s="1"/>
  <c r="I67" i="11" s="1"/>
  <c r="H68" i="11" s="1"/>
  <c r="I68" i="11" s="1"/>
  <c r="H69" i="11" s="1"/>
  <c r="I69" i="11" s="1"/>
  <c r="H70" i="11" s="1"/>
  <c r="I70" i="11" s="1"/>
  <c r="I2" i="11"/>
  <c r="H3" i="11" s="1"/>
  <c r="G2" i="11"/>
  <c r="F3" i="11" s="1"/>
  <c r="G3" i="11" s="1"/>
  <c r="F4" i="11" s="1"/>
  <c r="G4" i="11" s="1"/>
  <c r="F5" i="11" s="1"/>
  <c r="G5" i="11" s="1"/>
  <c r="F6" i="11" s="1"/>
  <c r="G6" i="11" s="1"/>
  <c r="F7" i="11" s="1"/>
  <c r="G7" i="11" s="1"/>
  <c r="F8" i="11" s="1"/>
  <c r="G8" i="11" s="1"/>
  <c r="F9" i="11" s="1"/>
  <c r="G9" i="11" s="1"/>
  <c r="F10" i="11" s="1"/>
  <c r="G10" i="11" s="1"/>
  <c r="F11" i="11" s="1"/>
  <c r="G11" i="11" s="1"/>
  <c r="F12" i="11" s="1"/>
  <c r="G12" i="11" s="1"/>
  <c r="F13" i="11" s="1"/>
  <c r="G13" i="11" s="1"/>
  <c r="F14" i="11" s="1"/>
  <c r="G14" i="11" s="1"/>
  <c r="F15" i="11" s="1"/>
  <c r="G15" i="11" s="1"/>
  <c r="F16" i="11" s="1"/>
  <c r="G16" i="11" s="1"/>
  <c r="F17" i="11" s="1"/>
  <c r="G17" i="11" s="1"/>
  <c r="F18" i="11" s="1"/>
  <c r="G18" i="11" s="1"/>
  <c r="F19" i="11" s="1"/>
  <c r="G19" i="11" s="1"/>
  <c r="F20" i="11" s="1"/>
  <c r="G20" i="11" s="1"/>
  <c r="F21" i="11" s="1"/>
  <c r="G21" i="11" s="1"/>
  <c r="F22" i="11" s="1"/>
  <c r="G22" i="11" s="1"/>
  <c r="F23" i="11" s="1"/>
  <c r="G23" i="11" s="1"/>
  <c r="F24" i="11" s="1"/>
  <c r="G24" i="11" s="1"/>
  <c r="F25" i="11" s="1"/>
  <c r="G25" i="11" s="1"/>
  <c r="F26" i="11" s="1"/>
  <c r="G26" i="11" s="1"/>
  <c r="F27" i="11" s="1"/>
  <c r="G27" i="11" s="1"/>
  <c r="F28" i="11" s="1"/>
  <c r="G28" i="11" s="1"/>
  <c r="F29" i="11" s="1"/>
  <c r="G29" i="11" s="1"/>
  <c r="F30" i="11" s="1"/>
  <c r="G30" i="11" s="1"/>
  <c r="F31" i="11" s="1"/>
  <c r="G31" i="11" s="1"/>
  <c r="F32" i="11" s="1"/>
  <c r="G32" i="11" s="1"/>
  <c r="F33" i="11" s="1"/>
  <c r="G33" i="11" s="1"/>
  <c r="F34" i="11" s="1"/>
  <c r="G34" i="11" s="1"/>
  <c r="F35" i="11" s="1"/>
  <c r="G35" i="11" s="1"/>
  <c r="F36" i="11" s="1"/>
  <c r="G36" i="11" s="1"/>
  <c r="F37" i="11" s="1"/>
  <c r="G37" i="11" s="1"/>
  <c r="F38" i="11" s="1"/>
  <c r="G38" i="11" s="1"/>
  <c r="F39" i="11" s="1"/>
  <c r="G39" i="11" s="1"/>
  <c r="F40" i="11" s="1"/>
  <c r="G40" i="11" s="1"/>
  <c r="F41" i="11" s="1"/>
  <c r="G41" i="11" s="1"/>
  <c r="F42" i="11" s="1"/>
  <c r="G42" i="11" s="1"/>
  <c r="F43" i="11" s="1"/>
  <c r="G43" i="11" s="1"/>
  <c r="F44" i="11" s="1"/>
  <c r="G44" i="11" s="1"/>
  <c r="F45" i="11" s="1"/>
  <c r="G45" i="11" s="1"/>
  <c r="F46" i="11" s="1"/>
  <c r="G46" i="11" s="1"/>
  <c r="F47" i="11" s="1"/>
  <c r="G47" i="11" s="1"/>
  <c r="F48" i="11" s="1"/>
  <c r="G48" i="11" s="1"/>
  <c r="F49" i="11" s="1"/>
  <c r="G49" i="11" s="1"/>
  <c r="F50" i="11" s="1"/>
  <c r="G50" i="11" s="1"/>
  <c r="F51" i="11" s="1"/>
  <c r="G51" i="11" s="1"/>
  <c r="F52" i="11" s="1"/>
  <c r="G52" i="11" s="1"/>
  <c r="F53" i="11" s="1"/>
  <c r="G53" i="11" s="1"/>
  <c r="F54" i="11" s="1"/>
  <c r="G54" i="11" s="1"/>
  <c r="F55" i="11" s="1"/>
  <c r="G55" i="11" s="1"/>
  <c r="F56" i="11" s="1"/>
  <c r="G56" i="11" s="1"/>
  <c r="F57" i="11" s="1"/>
  <c r="G57" i="11" s="1"/>
  <c r="F58" i="11" s="1"/>
  <c r="G58" i="11" s="1"/>
  <c r="F59" i="11" s="1"/>
  <c r="G59" i="11" s="1"/>
  <c r="F60" i="11" s="1"/>
  <c r="G60" i="11" s="1"/>
  <c r="F61" i="11" s="1"/>
  <c r="G61" i="11" s="1"/>
  <c r="F62" i="11" s="1"/>
  <c r="G62" i="11" s="1"/>
  <c r="F63" i="11" s="1"/>
  <c r="G63" i="11" s="1"/>
  <c r="F64" i="11" s="1"/>
  <c r="G64" i="11" s="1"/>
  <c r="F65" i="11" s="1"/>
  <c r="G65" i="11" s="1"/>
  <c r="F66" i="11" s="1"/>
  <c r="G66" i="11" s="1"/>
  <c r="F67" i="11" s="1"/>
  <c r="G67" i="11" s="1"/>
  <c r="F68" i="11" s="1"/>
  <c r="G68" i="11" s="1"/>
  <c r="F69" i="11" s="1"/>
  <c r="G69" i="11" s="1"/>
  <c r="F70" i="11" s="1"/>
  <c r="G70" i="11" s="1"/>
  <c r="F71" i="11" s="1"/>
  <c r="G71" i="11" s="1"/>
  <c r="F72" i="11" s="1"/>
  <c r="G72" i="11" s="1"/>
  <c r="F64" i="10"/>
  <c r="G64" i="10" s="1"/>
  <c r="F65" i="10" s="1"/>
  <c r="G65" i="10" s="1"/>
  <c r="F66" i="10" s="1"/>
  <c r="G66" i="10" s="1"/>
  <c r="F67" i="10" s="1"/>
  <c r="G67" i="10" s="1"/>
  <c r="H67" i="10" s="1"/>
  <c r="H23" i="10" s="1"/>
  <c r="G63" i="10"/>
  <c r="F63" i="10"/>
  <c r="G62" i="10"/>
  <c r="K57" i="10"/>
  <c r="J58" i="10" s="1"/>
  <c r="K58" i="10" s="1"/>
  <c r="J59" i="10" s="1"/>
  <c r="K59" i="10" s="1"/>
  <c r="J60" i="10" s="1"/>
  <c r="K60" i="10" s="1"/>
  <c r="J61" i="10" s="1"/>
  <c r="K61" i="10" s="1"/>
  <c r="J62" i="10" s="1"/>
  <c r="K62" i="10" s="1"/>
  <c r="J63" i="10" s="1"/>
  <c r="K63" i="10" s="1"/>
  <c r="J64" i="10" s="1"/>
  <c r="K64" i="10" s="1"/>
  <c r="J65" i="10" s="1"/>
  <c r="K65" i="10" s="1"/>
  <c r="J66" i="10" s="1"/>
  <c r="K66" i="10" s="1"/>
  <c r="J67" i="10" s="1"/>
  <c r="K67" i="10" s="1"/>
  <c r="L67" i="10" s="1"/>
  <c r="I23" i="10" s="1"/>
  <c r="J56" i="10"/>
  <c r="K56" i="10" s="1"/>
  <c r="J57" i="10" s="1"/>
  <c r="K55" i="10"/>
  <c r="M34" i="10"/>
  <c r="N34" i="10" s="1"/>
  <c r="M35" i="10" s="1"/>
  <c r="N35" i="10" s="1"/>
  <c r="M36" i="10" s="1"/>
  <c r="N36" i="10" s="1"/>
  <c r="M37" i="10" s="1"/>
  <c r="N37" i="10" s="1"/>
  <c r="M38" i="10" s="1"/>
  <c r="N38" i="10" s="1"/>
  <c r="M39" i="10" s="1"/>
  <c r="N39" i="10" s="1"/>
  <c r="M40" i="10" s="1"/>
  <c r="N40" i="10" s="1"/>
  <c r="M41" i="10" s="1"/>
  <c r="N41" i="10" s="1"/>
  <c r="M42" i="10" s="1"/>
  <c r="N42" i="10" s="1"/>
  <c r="M43" i="10" s="1"/>
  <c r="N43" i="10" s="1"/>
  <c r="M44" i="10" s="1"/>
  <c r="N44" i="10" s="1"/>
  <c r="M45" i="10" s="1"/>
  <c r="N45" i="10" s="1"/>
  <c r="M46" i="10" s="1"/>
  <c r="N46" i="10" s="1"/>
  <c r="M47" i="10" s="1"/>
  <c r="N47" i="10" s="1"/>
  <c r="M48" i="10" s="1"/>
  <c r="N48" i="10" s="1"/>
  <c r="M49" i="10" s="1"/>
  <c r="N49" i="10" s="1"/>
  <c r="M50" i="10" s="1"/>
  <c r="N50" i="10" s="1"/>
  <c r="M51" i="10" s="1"/>
  <c r="N51" i="10" s="1"/>
  <c r="M52" i="10" s="1"/>
  <c r="N52" i="10" s="1"/>
  <c r="M53" i="10" s="1"/>
  <c r="N53" i="10" s="1"/>
  <c r="M54" i="10" s="1"/>
  <c r="N54" i="10" s="1"/>
  <c r="M55" i="10" s="1"/>
  <c r="N55" i="10" s="1"/>
  <c r="M56" i="10" s="1"/>
  <c r="N56" i="10" s="1"/>
  <c r="M57" i="10" s="1"/>
  <c r="N57" i="10" s="1"/>
  <c r="M58" i="10" s="1"/>
  <c r="N58" i="10" s="1"/>
  <c r="M59" i="10" s="1"/>
  <c r="N59" i="10" s="1"/>
  <c r="M60" i="10" s="1"/>
  <c r="N60" i="10" s="1"/>
  <c r="M61" i="10" s="1"/>
  <c r="N61" i="10" s="1"/>
  <c r="M62" i="10" s="1"/>
  <c r="N62" i="10" s="1"/>
  <c r="M63" i="10" s="1"/>
  <c r="N63" i="10" s="1"/>
  <c r="M64" i="10" s="1"/>
  <c r="N64" i="10" s="1"/>
  <c r="M65" i="10" s="1"/>
  <c r="N65" i="10" s="1"/>
  <c r="M66" i="10" s="1"/>
  <c r="N66" i="10" s="1"/>
  <c r="M67" i="10" s="1"/>
  <c r="N67" i="10" s="1"/>
  <c r="O67" i="10" s="1"/>
  <c r="J23" i="10" s="1"/>
  <c r="M33" i="10"/>
  <c r="N33" i="10" s="1"/>
  <c r="N32" i="10"/>
  <c r="T8" i="10"/>
  <c r="S9" i="10" s="1"/>
  <c r="T9" i="10" s="1"/>
  <c r="S10" i="10" s="1"/>
  <c r="T10" i="10" s="1"/>
  <c r="S11" i="10" s="1"/>
  <c r="T11" i="10" s="1"/>
  <c r="S12" i="10" s="1"/>
  <c r="T12" i="10" s="1"/>
  <c r="S13" i="10" s="1"/>
  <c r="T13" i="10" s="1"/>
  <c r="S14" i="10" s="1"/>
  <c r="T14" i="10" s="1"/>
  <c r="S15" i="10" s="1"/>
  <c r="T15" i="10" s="1"/>
  <c r="S16" i="10" s="1"/>
  <c r="T16" i="10" s="1"/>
  <c r="S17" i="10" s="1"/>
  <c r="T17" i="10" s="1"/>
  <c r="S18" i="10" s="1"/>
  <c r="T18" i="10" s="1"/>
  <c r="S19" i="10" s="1"/>
  <c r="T19" i="10" s="1"/>
  <c r="S20" i="10" s="1"/>
  <c r="T20" i="10" s="1"/>
  <c r="S21" i="10" s="1"/>
  <c r="T21" i="10" s="1"/>
  <c r="S22" i="10" s="1"/>
  <c r="T22" i="10" s="1"/>
  <c r="S23" i="10" s="1"/>
  <c r="T23" i="10" s="1"/>
  <c r="S24" i="10" s="1"/>
  <c r="T24" i="10" s="1"/>
  <c r="S25" i="10" s="1"/>
  <c r="T25" i="10" s="1"/>
  <c r="S26" i="10" s="1"/>
  <c r="T26" i="10" s="1"/>
  <c r="S27" i="10" s="1"/>
  <c r="T27" i="10" s="1"/>
  <c r="S28" i="10" s="1"/>
  <c r="T28" i="10" s="1"/>
  <c r="S29" i="10" s="1"/>
  <c r="T29" i="10" s="1"/>
  <c r="S30" i="10" s="1"/>
  <c r="T30" i="10" s="1"/>
  <c r="S31" i="10" s="1"/>
  <c r="T31" i="10" s="1"/>
  <c r="S32" i="10" s="1"/>
  <c r="T32" i="10" s="1"/>
  <c r="S33" i="10" s="1"/>
  <c r="T33" i="10" s="1"/>
  <c r="S34" i="10" s="1"/>
  <c r="T34" i="10" s="1"/>
  <c r="S35" i="10" s="1"/>
  <c r="T35" i="10" s="1"/>
  <c r="S36" i="10" s="1"/>
  <c r="T36" i="10" s="1"/>
  <c r="S37" i="10" s="1"/>
  <c r="T37" i="10" s="1"/>
  <c r="S38" i="10" s="1"/>
  <c r="T38" i="10" s="1"/>
  <c r="S39" i="10" s="1"/>
  <c r="T39" i="10" s="1"/>
  <c r="S40" i="10" s="1"/>
  <c r="T40" i="10" s="1"/>
  <c r="S41" i="10" s="1"/>
  <c r="T41" i="10" s="1"/>
  <c r="S42" i="10" s="1"/>
  <c r="T42" i="10" s="1"/>
  <c r="S43" i="10" s="1"/>
  <c r="T43" i="10" s="1"/>
  <c r="S44" i="10" s="1"/>
  <c r="T44" i="10" s="1"/>
  <c r="S45" i="10" s="1"/>
  <c r="T45" i="10" s="1"/>
  <c r="S46" i="10" s="1"/>
  <c r="T46" i="10" s="1"/>
  <c r="S47" i="10" s="1"/>
  <c r="T47" i="10" s="1"/>
  <c r="S48" i="10" s="1"/>
  <c r="T48" i="10" s="1"/>
  <c r="S49" i="10" s="1"/>
  <c r="T49" i="10" s="1"/>
  <c r="S50" i="10" s="1"/>
  <c r="T50" i="10" s="1"/>
  <c r="S51" i="10" s="1"/>
  <c r="T51" i="10" s="1"/>
  <c r="S52" i="10" s="1"/>
  <c r="T52" i="10" s="1"/>
  <c r="S53" i="10" s="1"/>
  <c r="T53" i="10" s="1"/>
  <c r="S54" i="10" s="1"/>
  <c r="T54" i="10" s="1"/>
  <c r="S55" i="10" s="1"/>
  <c r="T55" i="10" s="1"/>
  <c r="S56" i="10" s="1"/>
  <c r="T56" i="10" s="1"/>
  <c r="S57" i="10" s="1"/>
  <c r="T57" i="10" s="1"/>
  <c r="S58" i="10" s="1"/>
  <c r="T58" i="10" s="1"/>
  <c r="S59" i="10" s="1"/>
  <c r="T59" i="10" s="1"/>
  <c r="S60" i="10" s="1"/>
  <c r="T60" i="10" s="1"/>
  <c r="S61" i="10" s="1"/>
  <c r="T61" i="10" s="1"/>
  <c r="S62" i="10" s="1"/>
  <c r="T62" i="10" s="1"/>
  <c r="S63" i="10" s="1"/>
  <c r="T63" i="10" s="1"/>
  <c r="S64" i="10" s="1"/>
  <c r="T64" i="10" s="1"/>
  <c r="S65" i="10" s="1"/>
  <c r="T65" i="10" s="1"/>
  <c r="S66" i="10" s="1"/>
  <c r="T66" i="10" s="1"/>
  <c r="S67" i="10" s="1"/>
  <c r="T67" i="10" s="1"/>
  <c r="Q8" i="10"/>
  <c r="P9" i="10" s="1"/>
  <c r="Q9" i="10" s="1"/>
  <c r="P10" i="10" s="1"/>
  <c r="Q10" i="10" s="1"/>
  <c r="P11" i="10" s="1"/>
  <c r="Q11" i="10" s="1"/>
  <c r="P12" i="10" s="1"/>
  <c r="Q12" i="10" s="1"/>
  <c r="P13" i="10" s="1"/>
  <c r="Q13" i="10" s="1"/>
  <c r="P14" i="10" s="1"/>
  <c r="Q14" i="10" s="1"/>
  <c r="P15" i="10" s="1"/>
  <c r="Q15" i="10" s="1"/>
  <c r="P16" i="10" s="1"/>
  <c r="Q16" i="10" s="1"/>
  <c r="P17" i="10" s="1"/>
  <c r="Q17" i="10" s="1"/>
  <c r="P18" i="10" s="1"/>
  <c r="Q18" i="10" s="1"/>
  <c r="P19" i="10" s="1"/>
  <c r="Q19" i="10" s="1"/>
  <c r="P20" i="10" s="1"/>
  <c r="Q20" i="10" s="1"/>
  <c r="P21" i="10" s="1"/>
  <c r="Q21" i="10" s="1"/>
  <c r="P22" i="10" s="1"/>
  <c r="Q22" i="10" s="1"/>
  <c r="P23" i="10" s="1"/>
  <c r="Q23" i="10" s="1"/>
  <c r="P24" i="10" s="1"/>
  <c r="Q24" i="10" s="1"/>
  <c r="P25" i="10" s="1"/>
  <c r="Q25" i="10" s="1"/>
  <c r="P26" i="10" s="1"/>
  <c r="Q26" i="10" s="1"/>
  <c r="P27" i="10" s="1"/>
  <c r="Q27" i="10" s="1"/>
  <c r="P28" i="10" s="1"/>
  <c r="Q28" i="10" s="1"/>
  <c r="P29" i="10" s="1"/>
  <c r="Q29" i="10" s="1"/>
  <c r="P30" i="10" s="1"/>
  <c r="Q30" i="10" s="1"/>
  <c r="P31" i="10" s="1"/>
  <c r="Q31" i="10" s="1"/>
  <c r="P32" i="10" s="1"/>
  <c r="Q32" i="10" s="1"/>
  <c r="P33" i="10" s="1"/>
  <c r="Q33" i="10" s="1"/>
  <c r="P34" i="10" s="1"/>
  <c r="Q34" i="10" s="1"/>
  <c r="P35" i="10" s="1"/>
  <c r="Q35" i="10" s="1"/>
  <c r="P36" i="10" s="1"/>
  <c r="Q36" i="10" s="1"/>
  <c r="P37" i="10" s="1"/>
  <c r="Q37" i="10" s="1"/>
  <c r="P38" i="10" s="1"/>
  <c r="Q38" i="10" s="1"/>
  <c r="P39" i="10" s="1"/>
  <c r="Q39" i="10" s="1"/>
  <c r="P40" i="10" s="1"/>
  <c r="Q40" i="10" s="1"/>
  <c r="P41" i="10" s="1"/>
  <c r="Q41" i="10" s="1"/>
  <c r="P42" i="10" s="1"/>
  <c r="Q42" i="10" s="1"/>
  <c r="P43" i="10" s="1"/>
  <c r="Q43" i="10" s="1"/>
  <c r="P44" i="10" s="1"/>
  <c r="Q44" i="10" s="1"/>
  <c r="P45" i="10" s="1"/>
  <c r="Q45" i="10" s="1"/>
  <c r="P46" i="10" s="1"/>
  <c r="Q46" i="10" s="1"/>
  <c r="P47" i="10" s="1"/>
  <c r="Q47" i="10" s="1"/>
  <c r="P48" i="10" s="1"/>
  <c r="Q48" i="10" s="1"/>
  <c r="P49" i="10" s="1"/>
  <c r="Q49" i="10" s="1"/>
  <c r="P50" i="10" s="1"/>
  <c r="Q50" i="10" s="1"/>
  <c r="P51" i="10" s="1"/>
  <c r="Q51" i="10" s="1"/>
  <c r="P52" i="10" s="1"/>
  <c r="Q52" i="10" s="1"/>
  <c r="P53" i="10" s="1"/>
  <c r="Q53" i="10" s="1"/>
  <c r="P54" i="10" s="1"/>
  <c r="Q54" i="10" s="1"/>
  <c r="P55" i="10" s="1"/>
  <c r="Q55" i="10" s="1"/>
  <c r="P56" i="10" s="1"/>
  <c r="Q56" i="10" s="1"/>
  <c r="P57" i="10" s="1"/>
  <c r="Q57" i="10" s="1"/>
  <c r="P58" i="10" s="1"/>
  <c r="Q58" i="10" s="1"/>
  <c r="P59" i="10" s="1"/>
  <c r="Q59" i="10" s="1"/>
  <c r="P60" i="10" s="1"/>
  <c r="Q60" i="10" s="1"/>
  <c r="P61" i="10" s="1"/>
  <c r="Q61" i="10" s="1"/>
  <c r="P62" i="10" s="1"/>
  <c r="Q62" i="10" s="1"/>
  <c r="P63" i="10" s="1"/>
  <c r="Q63" i="10" s="1"/>
  <c r="P64" i="10" s="1"/>
  <c r="Q64" i="10" s="1"/>
  <c r="P65" i="10" s="1"/>
  <c r="Q65" i="10" s="1"/>
  <c r="P66" i="10" s="1"/>
  <c r="Q66" i="10" s="1"/>
  <c r="P67" i="10" s="1"/>
  <c r="Q67" i="10" s="1"/>
  <c r="R67" i="10" s="1"/>
  <c r="K23" i="10" s="1"/>
  <c r="D29" i="8"/>
  <c r="B29" i="8"/>
  <c r="D28" i="8"/>
  <c r="B28" i="8"/>
  <c r="C13" i="8"/>
  <c r="F34" i="7"/>
  <c r="F33" i="7"/>
  <c r="F32" i="7"/>
  <c r="F31" i="7"/>
  <c r="F26" i="7"/>
  <c r="F25" i="7"/>
  <c r="F24" i="7"/>
  <c r="F23" i="7"/>
  <c r="F18" i="7"/>
  <c r="F17" i="7"/>
  <c r="F16" i="7"/>
  <c r="G16" i="7" s="1"/>
  <c r="F15" i="7"/>
  <c r="F10" i="7"/>
  <c r="G10" i="7" s="1"/>
  <c r="F9" i="7"/>
  <c r="G9" i="7" s="1"/>
  <c r="G8" i="7"/>
  <c r="F8" i="7"/>
  <c r="F7" i="7"/>
  <c r="G7" i="7" s="1"/>
  <c r="F6" i="7"/>
  <c r="G6" i="7" s="1"/>
  <c r="E6" i="7"/>
  <c r="E5" i="7"/>
  <c r="F5" i="7" s="1"/>
  <c r="G5" i="7" s="1"/>
  <c r="E4" i="7"/>
  <c r="F4" i="7" s="1"/>
  <c r="G4" i="7" s="1"/>
  <c r="F3" i="7"/>
  <c r="H3" i="7" s="1"/>
  <c r="H4" i="7" s="1"/>
  <c r="H5" i="7" s="1"/>
  <c r="H6" i="7" s="1"/>
  <c r="H7" i="7" s="1"/>
  <c r="H8" i="7" s="1"/>
  <c r="H9" i="7" s="1"/>
  <c r="H10" i="7" s="1"/>
  <c r="E3" i="7"/>
  <c r="C12" i="6"/>
  <c r="B12" i="6"/>
  <c r="C11" i="6"/>
  <c r="B11" i="6"/>
  <c r="C10" i="6"/>
  <c r="B10" i="6"/>
  <c r="B9" i="6"/>
  <c r="C8" i="6"/>
  <c r="B8" i="6"/>
  <c r="C7" i="6"/>
  <c r="B7" i="6"/>
  <c r="C6" i="6"/>
  <c r="B6" i="6"/>
  <c r="C5" i="6"/>
  <c r="B5" i="6"/>
  <c r="C4" i="6"/>
  <c r="B4" i="6"/>
  <c r="C3" i="6"/>
  <c r="B3" i="6"/>
  <c r="C2" i="6"/>
  <c r="B2" i="6"/>
  <c r="E69" i="5"/>
  <c r="D69" i="5"/>
  <c r="E68" i="5"/>
  <c r="D68" i="5"/>
  <c r="E67" i="5"/>
  <c r="D67" i="5"/>
  <c r="I2" i="5"/>
  <c r="H3" i="5" s="1"/>
  <c r="I3" i="5" s="1"/>
  <c r="H4" i="5" s="1"/>
  <c r="I4" i="5" s="1"/>
  <c r="H5" i="5" s="1"/>
  <c r="I5" i="5" s="1"/>
  <c r="H6" i="5" s="1"/>
  <c r="I6" i="5" s="1"/>
  <c r="H7" i="5" s="1"/>
  <c r="I7" i="5" s="1"/>
  <c r="H8" i="5" s="1"/>
  <c r="I8" i="5" s="1"/>
  <c r="H9" i="5" s="1"/>
  <c r="I9" i="5" s="1"/>
  <c r="H10" i="5" s="1"/>
  <c r="I10" i="5" s="1"/>
  <c r="H11" i="5" s="1"/>
  <c r="I11" i="5" s="1"/>
  <c r="H12" i="5" s="1"/>
  <c r="I12" i="5" s="1"/>
  <c r="H13" i="5" s="1"/>
  <c r="I13" i="5" s="1"/>
  <c r="H14" i="5" s="1"/>
  <c r="I14" i="5" s="1"/>
  <c r="H15" i="5" s="1"/>
  <c r="I15" i="5" s="1"/>
  <c r="H16" i="5" s="1"/>
  <c r="I16" i="5" s="1"/>
  <c r="H17" i="5" s="1"/>
  <c r="I17" i="5" s="1"/>
  <c r="H18" i="5" s="1"/>
  <c r="I18" i="5" s="1"/>
  <c r="H19" i="5" s="1"/>
  <c r="I19" i="5" s="1"/>
  <c r="H20" i="5" s="1"/>
  <c r="I20" i="5" s="1"/>
  <c r="H21" i="5" s="1"/>
  <c r="I21" i="5" s="1"/>
  <c r="H22" i="5" s="1"/>
  <c r="I22" i="5" s="1"/>
  <c r="H23" i="5" s="1"/>
  <c r="I23" i="5" s="1"/>
  <c r="H24" i="5" s="1"/>
  <c r="I24" i="5" s="1"/>
  <c r="H25" i="5" s="1"/>
  <c r="I25" i="5" s="1"/>
  <c r="H26" i="5" s="1"/>
  <c r="I26" i="5" s="1"/>
  <c r="H27" i="5" s="1"/>
  <c r="I27" i="5" s="1"/>
  <c r="H28" i="5" s="1"/>
  <c r="I28" i="5" s="1"/>
  <c r="H29" i="5" s="1"/>
  <c r="I29" i="5" s="1"/>
  <c r="H30" i="5" s="1"/>
  <c r="I30" i="5" s="1"/>
  <c r="H31" i="5" s="1"/>
  <c r="I31" i="5" s="1"/>
  <c r="H32" i="5" s="1"/>
  <c r="I32" i="5" s="1"/>
  <c r="H33" i="5" s="1"/>
  <c r="I33" i="5" s="1"/>
  <c r="H34" i="5" s="1"/>
  <c r="I34" i="5" s="1"/>
  <c r="H35" i="5" s="1"/>
  <c r="I35" i="5" s="1"/>
  <c r="H36" i="5" s="1"/>
  <c r="I36" i="5" s="1"/>
  <c r="H37" i="5" s="1"/>
  <c r="I37" i="5" s="1"/>
  <c r="H38" i="5" s="1"/>
  <c r="I38" i="5" s="1"/>
  <c r="H39" i="5" s="1"/>
  <c r="I39" i="5" s="1"/>
  <c r="H40" i="5" s="1"/>
  <c r="I40" i="5" s="1"/>
  <c r="H41" i="5" s="1"/>
  <c r="I41" i="5" s="1"/>
  <c r="H42" i="5" s="1"/>
  <c r="I42" i="5" s="1"/>
  <c r="H43" i="5" s="1"/>
  <c r="I43" i="5" s="1"/>
  <c r="H44" i="5" s="1"/>
  <c r="I44" i="5" s="1"/>
  <c r="H45" i="5" s="1"/>
  <c r="I45" i="5" s="1"/>
  <c r="H46" i="5" s="1"/>
  <c r="I46" i="5" s="1"/>
  <c r="H47" i="5" s="1"/>
  <c r="I47" i="5" s="1"/>
  <c r="H48" i="5" s="1"/>
  <c r="I48" i="5" s="1"/>
  <c r="H49" i="5" s="1"/>
  <c r="I49" i="5" s="1"/>
  <c r="H50" i="5" s="1"/>
  <c r="I50" i="5" s="1"/>
  <c r="H51" i="5" s="1"/>
  <c r="I51" i="5" s="1"/>
  <c r="H52" i="5" s="1"/>
  <c r="I52" i="5" s="1"/>
  <c r="H53" i="5" s="1"/>
  <c r="I53" i="5" s="1"/>
  <c r="H54" i="5" s="1"/>
  <c r="I54" i="5" s="1"/>
  <c r="H55" i="5" s="1"/>
  <c r="I55" i="5" s="1"/>
  <c r="H56" i="5" s="1"/>
  <c r="I56" i="5" s="1"/>
  <c r="H57" i="5" s="1"/>
  <c r="I57" i="5" s="1"/>
  <c r="H58" i="5" s="1"/>
  <c r="I58" i="5" s="1"/>
  <c r="H59" i="5" s="1"/>
  <c r="I59" i="5" s="1"/>
  <c r="H60" i="5" s="1"/>
  <c r="I60" i="5" s="1"/>
  <c r="H61" i="5" s="1"/>
  <c r="I61" i="5" s="1"/>
  <c r="H62" i="5" s="1"/>
  <c r="I62" i="5" s="1"/>
  <c r="H63" i="5" s="1"/>
  <c r="I63" i="5" s="1"/>
  <c r="H64" i="5" s="1"/>
  <c r="I64" i="5" s="1"/>
  <c r="H65" i="5" s="1"/>
  <c r="I65" i="5" s="1"/>
  <c r="H66" i="5" s="1"/>
  <c r="I66" i="5" s="1"/>
  <c r="H67" i="5" s="1"/>
  <c r="I67" i="5" s="1"/>
  <c r="H68" i="5" s="1"/>
  <c r="I68" i="5" s="1"/>
  <c r="H69" i="5" s="1"/>
  <c r="I69" i="5" s="1"/>
  <c r="H70" i="5" s="1"/>
  <c r="I70" i="5" s="1"/>
  <c r="G2" i="5"/>
  <c r="F3" i="5" s="1"/>
  <c r="G3" i="5" s="1"/>
  <c r="F4" i="5" s="1"/>
  <c r="G4" i="5" s="1"/>
  <c r="F5" i="5" s="1"/>
  <c r="G5" i="5" s="1"/>
  <c r="F6" i="5" s="1"/>
  <c r="G6" i="5" s="1"/>
  <c r="F7" i="5" s="1"/>
  <c r="G7" i="5" s="1"/>
  <c r="F8" i="5" s="1"/>
  <c r="G8" i="5" s="1"/>
  <c r="F9" i="5" s="1"/>
  <c r="G9" i="5" s="1"/>
  <c r="F10" i="5" s="1"/>
  <c r="G10" i="5" s="1"/>
  <c r="F11" i="5" s="1"/>
  <c r="G11" i="5" s="1"/>
  <c r="F12" i="5" s="1"/>
  <c r="G12" i="5" s="1"/>
  <c r="F13" i="5" s="1"/>
  <c r="G13" i="5" s="1"/>
  <c r="F14" i="5" s="1"/>
  <c r="G14" i="5" s="1"/>
  <c r="F15" i="5" s="1"/>
  <c r="G15" i="5" s="1"/>
  <c r="F16" i="5" s="1"/>
  <c r="G16" i="5" s="1"/>
  <c r="F17" i="5" s="1"/>
  <c r="G17" i="5" s="1"/>
  <c r="F18" i="5" s="1"/>
  <c r="G18" i="5" s="1"/>
  <c r="F19" i="5" s="1"/>
  <c r="G19" i="5" s="1"/>
  <c r="F20" i="5" s="1"/>
  <c r="G20" i="5" s="1"/>
  <c r="F21" i="5" s="1"/>
  <c r="G21" i="5" s="1"/>
  <c r="F22" i="5" s="1"/>
  <c r="G22" i="5" s="1"/>
  <c r="F23" i="5" s="1"/>
  <c r="G23" i="5" s="1"/>
  <c r="F24" i="5" s="1"/>
  <c r="G24" i="5" s="1"/>
  <c r="F25" i="5" s="1"/>
  <c r="G25" i="5" s="1"/>
  <c r="F26" i="5" s="1"/>
  <c r="G26" i="5" s="1"/>
  <c r="F27" i="5" s="1"/>
  <c r="G27" i="5" s="1"/>
  <c r="F28" i="5" s="1"/>
  <c r="G28" i="5" s="1"/>
  <c r="F29" i="5" s="1"/>
  <c r="G29" i="5" s="1"/>
  <c r="F30" i="5" s="1"/>
  <c r="G30" i="5" s="1"/>
  <c r="F31" i="5" s="1"/>
  <c r="G31" i="5" s="1"/>
  <c r="F32" i="5" s="1"/>
  <c r="G32" i="5" s="1"/>
  <c r="F33" i="5" s="1"/>
  <c r="G33" i="5" s="1"/>
  <c r="F34" i="5" s="1"/>
  <c r="G34" i="5" s="1"/>
  <c r="F35" i="5" s="1"/>
  <c r="G35" i="5" s="1"/>
  <c r="F36" i="5" s="1"/>
  <c r="G36" i="5" s="1"/>
  <c r="F37" i="5" s="1"/>
  <c r="G37" i="5" s="1"/>
  <c r="F38" i="5" s="1"/>
  <c r="G38" i="5" s="1"/>
  <c r="F39" i="5" s="1"/>
  <c r="G39" i="5" s="1"/>
  <c r="F40" i="5" s="1"/>
  <c r="G40" i="5" s="1"/>
  <c r="F41" i="5" s="1"/>
  <c r="G41" i="5" s="1"/>
  <c r="F42" i="5" s="1"/>
  <c r="G42" i="5" s="1"/>
  <c r="F43" i="5" s="1"/>
  <c r="G43" i="5" s="1"/>
  <c r="F44" i="5" s="1"/>
  <c r="G44" i="5" s="1"/>
  <c r="F45" i="5" s="1"/>
  <c r="G45" i="5" s="1"/>
  <c r="F46" i="5" s="1"/>
  <c r="G46" i="5" s="1"/>
  <c r="F47" i="5" s="1"/>
  <c r="G47" i="5" s="1"/>
  <c r="F48" i="5" s="1"/>
  <c r="G48" i="5" s="1"/>
  <c r="F49" i="5" s="1"/>
  <c r="G49" i="5" s="1"/>
  <c r="F50" i="5" s="1"/>
  <c r="G50" i="5" s="1"/>
  <c r="F51" i="5" s="1"/>
  <c r="G51" i="5" s="1"/>
  <c r="F52" i="5" s="1"/>
  <c r="G52" i="5" s="1"/>
  <c r="F53" i="5" s="1"/>
  <c r="G53" i="5" s="1"/>
  <c r="F54" i="5" s="1"/>
  <c r="G54" i="5" s="1"/>
  <c r="F55" i="5" s="1"/>
  <c r="G55" i="5" s="1"/>
  <c r="F56" i="5" s="1"/>
  <c r="G56" i="5" s="1"/>
  <c r="F57" i="5" s="1"/>
  <c r="G57" i="5" s="1"/>
  <c r="F58" i="5" s="1"/>
  <c r="G58" i="5" s="1"/>
  <c r="F59" i="5" s="1"/>
  <c r="G59" i="5" s="1"/>
  <c r="F60" i="5" s="1"/>
  <c r="G60" i="5" s="1"/>
  <c r="F61" i="5" s="1"/>
  <c r="G61" i="5" s="1"/>
  <c r="F62" i="5" s="1"/>
  <c r="G62" i="5" s="1"/>
  <c r="F63" i="5" s="1"/>
  <c r="G63" i="5" s="1"/>
  <c r="F64" i="5" s="1"/>
  <c r="G64" i="5" s="1"/>
  <c r="F65" i="5" s="1"/>
  <c r="G65" i="5" s="1"/>
  <c r="F66" i="5" s="1"/>
  <c r="G66" i="5" s="1"/>
  <c r="F67" i="5" s="1"/>
  <c r="G67" i="5" s="1"/>
  <c r="F68" i="5" s="1"/>
  <c r="G68" i="5" s="1"/>
  <c r="F69" i="5" s="1"/>
  <c r="G69" i="5" s="1"/>
  <c r="F70" i="5" s="1"/>
  <c r="G70" i="5" s="1"/>
  <c r="I10" i="4"/>
  <c r="D10" i="4"/>
  <c r="C10" i="4"/>
  <c r="J10" i="4" s="1"/>
  <c r="B10" i="4"/>
  <c r="I9" i="4"/>
  <c r="D9" i="4"/>
  <c r="C9" i="4"/>
  <c r="J9" i="4" s="1"/>
  <c r="B9" i="4"/>
  <c r="I8" i="4"/>
  <c r="D8" i="4"/>
  <c r="C8" i="4"/>
  <c r="J8" i="4" s="1"/>
  <c r="K8" i="4" s="1"/>
  <c r="B8" i="4"/>
  <c r="I7" i="4"/>
  <c r="D7" i="4"/>
  <c r="C7" i="4"/>
  <c r="J7" i="4" s="1"/>
  <c r="K7" i="4" s="1"/>
  <c r="B7" i="4"/>
  <c r="C5" i="4"/>
  <c r="H1" i="3"/>
  <c r="I1" i="3" s="1"/>
  <c r="J1" i="3" s="1"/>
  <c r="K1" i="3" s="1"/>
  <c r="L1" i="3" s="1"/>
  <c r="M1" i="3" s="1"/>
  <c r="E1" i="3"/>
  <c r="F1" i="3" s="1"/>
  <c r="E21" i="1"/>
  <c r="D21" i="1"/>
  <c r="C21" i="1"/>
  <c r="E20" i="1"/>
  <c r="D20" i="1"/>
  <c r="C20" i="1"/>
  <c r="E19" i="1"/>
  <c r="D19" i="1"/>
  <c r="C19" i="1"/>
  <c r="E18" i="1"/>
  <c r="D18" i="1"/>
  <c r="C18" i="1"/>
  <c r="E17" i="1"/>
  <c r="D17" i="1"/>
  <c r="C17" i="1"/>
  <c r="E16" i="1"/>
  <c r="D16" i="1"/>
  <c r="C16" i="1"/>
  <c r="E14" i="1"/>
  <c r="D14" i="1"/>
  <c r="C14" i="1"/>
  <c r="E13" i="1"/>
  <c r="D13" i="1"/>
  <c r="C13" i="1"/>
  <c r="F13" i="1" s="1"/>
  <c r="E12" i="1"/>
  <c r="D12" i="1"/>
  <c r="C12" i="1"/>
  <c r="E11" i="1"/>
  <c r="D11" i="1"/>
  <c r="C11" i="1"/>
  <c r="E10" i="1"/>
  <c r="D10" i="1"/>
  <c r="C10" i="1"/>
  <c r="B6" i="1"/>
  <c r="B5" i="1"/>
  <c r="E28" i="8" l="1"/>
  <c r="F28" i="8" s="1"/>
  <c r="F16" i="1"/>
  <c r="E29" i="8"/>
  <c r="F29" i="8" s="1"/>
  <c r="F10" i="1"/>
  <c r="B4" i="1" s="1"/>
  <c r="F17" i="1"/>
  <c r="F18" i="1"/>
  <c r="F20" i="1"/>
  <c r="F14" i="1"/>
  <c r="F11" i="1"/>
  <c r="K10" i="4"/>
  <c r="F12" i="1"/>
  <c r="F19" i="1"/>
  <c r="B7" i="1" s="1"/>
  <c r="U69" i="10"/>
  <c r="I24" i="10" s="1"/>
  <c r="U70" i="10"/>
  <c r="H24" i="10" s="1"/>
  <c r="U68" i="10"/>
  <c r="J24" i="10" s="1"/>
  <c r="U67" i="10"/>
  <c r="K24" i="10" s="1"/>
  <c r="G15" i="7"/>
  <c r="E11" i="7"/>
  <c r="F11" i="7" s="1"/>
  <c r="G11" i="7" s="1"/>
  <c r="I10" i="7"/>
  <c r="E14" i="7"/>
  <c r="F14" i="7" s="1"/>
  <c r="G14" i="7" s="1"/>
  <c r="E13" i="7"/>
  <c r="F13" i="7" s="1"/>
  <c r="G13" i="7" s="1"/>
  <c r="E12" i="7"/>
  <c r="F12" i="7" s="1"/>
  <c r="G12" i="7" s="1"/>
  <c r="H11" i="7"/>
  <c r="G17" i="7"/>
  <c r="O23" i="5"/>
  <c r="N23" i="5"/>
  <c r="M23" i="5"/>
  <c r="L23" i="5"/>
  <c r="B2" i="1" s="1"/>
  <c r="N24" i="5"/>
  <c r="N24" i="11" s="1"/>
  <c r="E24" i="8" s="1"/>
  <c r="O24" i="5"/>
  <c r="O24" i="11" s="1"/>
  <c r="F24" i="8" s="1"/>
  <c r="L24" i="5"/>
  <c r="L24" i="11" s="1"/>
  <c r="C24" i="8" s="1"/>
  <c r="M24" i="5"/>
  <c r="M24" i="11" s="1"/>
  <c r="D24" i="8" s="1"/>
  <c r="N23" i="11"/>
  <c r="E23" i="8" s="1"/>
  <c r="H71" i="11"/>
  <c r="I71" i="11" s="1"/>
  <c r="H72" i="11" s="1"/>
  <c r="I72" i="11" s="1"/>
  <c r="M22" i="11"/>
  <c r="D22" i="8" s="1"/>
  <c r="N22" i="11"/>
  <c r="E22" i="8" s="1"/>
  <c r="O22" i="11"/>
  <c r="F22" i="8" s="1"/>
  <c r="L22" i="11"/>
  <c r="G3" i="7"/>
  <c r="H3" i="12"/>
  <c r="H4" i="12" s="1"/>
  <c r="H5" i="12" s="1"/>
  <c r="H6" i="12" s="1"/>
  <c r="G3" i="12"/>
  <c r="G18" i="7"/>
  <c r="K9" i="4"/>
  <c r="F21" i="1"/>
  <c r="F31" i="8"/>
  <c r="E45" i="8" s="1"/>
  <c r="H3" i="13"/>
  <c r="H4" i="13" s="1"/>
  <c r="H5" i="13" s="1"/>
  <c r="H6" i="13" s="1"/>
  <c r="H7" i="13" s="1"/>
  <c r="H8" i="13" s="1"/>
  <c r="H9" i="13" s="1"/>
  <c r="H10" i="13" s="1"/>
  <c r="H11" i="13" s="1"/>
  <c r="H12" i="13" s="1"/>
  <c r="H13" i="13" s="1"/>
  <c r="H14" i="13" s="1"/>
  <c r="H15" i="13" s="1"/>
  <c r="H16" i="13" s="1"/>
  <c r="H17" i="13" s="1"/>
  <c r="H18" i="13" s="1"/>
  <c r="H19" i="13" s="1"/>
  <c r="H20" i="13" s="1"/>
  <c r="H21" i="13" s="1"/>
  <c r="H22" i="13" s="1"/>
  <c r="H23" i="13" s="1"/>
  <c r="H24" i="13" s="1"/>
  <c r="H25" i="13" s="1"/>
  <c r="H26" i="13" s="1"/>
  <c r="H27" i="13" s="1"/>
  <c r="H28" i="13" s="1"/>
  <c r="H29" i="13" s="1"/>
  <c r="H30" i="13" s="1"/>
  <c r="H31" i="13" s="1"/>
  <c r="H32" i="13" s="1"/>
  <c r="H33" i="13" s="1"/>
  <c r="H34" i="13" s="1"/>
  <c r="H35" i="13" s="1"/>
  <c r="H36" i="13" s="1"/>
  <c r="H37" i="13" s="1"/>
  <c r="H38" i="13" s="1"/>
  <c r="H39" i="13" s="1"/>
  <c r="H40" i="13" s="1"/>
  <c r="G3" i="13"/>
  <c r="G9" i="12"/>
  <c r="H3" i="14"/>
  <c r="H4" i="14" s="1"/>
  <c r="H5" i="14" s="1"/>
  <c r="H6" i="14" s="1"/>
  <c r="H7" i="14" s="1"/>
  <c r="H8" i="14" s="1"/>
  <c r="H9" i="14" s="1"/>
  <c r="H10" i="14" s="1"/>
  <c r="H11" i="14" s="1"/>
  <c r="H12" i="14" s="1"/>
  <c r="H13" i="14" s="1"/>
  <c r="H14" i="14" s="1"/>
  <c r="H15" i="14" s="1"/>
  <c r="H16" i="14" s="1"/>
  <c r="H17" i="14" s="1"/>
  <c r="H18" i="14" s="1"/>
  <c r="H19" i="14" s="1"/>
  <c r="H20" i="14" s="1"/>
  <c r="H21" i="14" s="1"/>
  <c r="H22" i="14" s="1"/>
  <c r="H23" i="14" s="1"/>
  <c r="H24" i="14" s="1"/>
  <c r="H25" i="14" s="1"/>
  <c r="H26" i="14" s="1"/>
  <c r="H27" i="14" s="1"/>
  <c r="H28" i="14" s="1"/>
  <c r="H29" i="14" s="1"/>
  <c r="H30" i="14" s="1"/>
  <c r="H31" i="14" s="1"/>
  <c r="H32" i="14" s="1"/>
  <c r="H33" i="14" s="1"/>
  <c r="H34" i="14" s="1"/>
  <c r="H35" i="14" s="1"/>
  <c r="H36" i="14" s="1"/>
  <c r="H37" i="14" s="1"/>
  <c r="H38" i="14" s="1"/>
  <c r="H39" i="14" s="1"/>
  <c r="H40" i="14" s="1"/>
  <c r="H41" i="14" s="1"/>
  <c r="H42" i="14" s="1"/>
  <c r="G3" i="14"/>
  <c r="K28" i="4" l="1"/>
  <c r="K29" i="4" s="1"/>
  <c r="H12" i="7"/>
  <c r="H13" i="7" s="1"/>
  <c r="H14" i="7" s="1"/>
  <c r="H15" i="7" s="1"/>
  <c r="H16" i="7" s="1"/>
  <c r="H17" i="7" s="1"/>
  <c r="H18" i="7" s="1"/>
  <c r="M23" i="11"/>
  <c r="D23" i="8" s="1"/>
  <c r="O23" i="11"/>
  <c r="F23" i="8" s="1"/>
  <c r="L23" i="11"/>
  <c r="C23" i="8" s="1"/>
  <c r="E59" i="13"/>
  <c r="F59" i="13" s="1"/>
  <c r="G59" i="13" s="1"/>
  <c r="E55" i="13"/>
  <c r="F55" i="13" s="1"/>
  <c r="G55" i="13" s="1"/>
  <c r="E51" i="13"/>
  <c r="F51" i="13" s="1"/>
  <c r="G51" i="13" s="1"/>
  <c r="E47" i="13"/>
  <c r="F47" i="13" s="1"/>
  <c r="G47" i="13" s="1"/>
  <c r="E43" i="13"/>
  <c r="F43" i="13" s="1"/>
  <c r="G43" i="13" s="1"/>
  <c r="E46" i="13"/>
  <c r="F46" i="13" s="1"/>
  <c r="G46" i="13" s="1"/>
  <c r="E56" i="13"/>
  <c r="F56" i="13" s="1"/>
  <c r="G56" i="13" s="1"/>
  <c r="E45" i="13"/>
  <c r="F45" i="13" s="1"/>
  <c r="G45" i="13" s="1"/>
  <c r="E50" i="13"/>
  <c r="F50" i="13" s="1"/>
  <c r="G50" i="13" s="1"/>
  <c r="E60" i="13"/>
  <c r="F60" i="13" s="1"/>
  <c r="G60" i="13" s="1"/>
  <c r="E49" i="13"/>
  <c r="F49" i="13" s="1"/>
  <c r="G49" i="13" s="1"/>
  <c r="E44" i="13"/>
  <c r="F44" i="13" s="1"/>
  <c r="G44" i="13" s="1"/>
  <c r="E54" i="13"/>
  <c r="F54" i="13" s="1"/>
  <c r="G54" i="13" s="1"/>
  <c r="E53" i="13"/>
  <c r="F53" i="13" s="1"/>
  <c r="G53" i="13" s="1"/>
  <c r="E48" i="13"/>
  <c r="F48" i="13" s="1"/>
  <c r="G48" i="13" s="1"/>
  <c r="E58" i="13"/>
  <c r="F58" i="13" s="1"/>
  <c r="G58" i="13" s="1"/>
  <c r="E42" i="13"/>
  <c r="F42" i="13" s="1"/>
  <c r="G42" i="13" s="1"/>
  <c r="E57" i="13"/>
  <c r="F57" i="13" s="1"/>
  <c r="G57" i="13" s="1"/>
  <c r="E52" i="13"/>
  <c r="F52" i="13" s="1"/>
  <c r="G52" i="13" s="1"/>
  <c r="E41" i="13"/>
  <c r="F41" i="13" s="1"/>
  <c r="G41" i="13" s="1"/>
  <c r="B3" i="1"/>
  <c r="C22" i="8"/>
  <c r="E60" i="14"/>
  <c r="F60" i="14" s="1"/>
  <c r="G60" i="14" s="1"/>
  <c r="E56" i="14"/>
  <c r="F56" i="14" s="1"/>
  <c r="G56" i="14" s="1"/>
  <c r="E52" i="14"/>
  <c r="F52" i="14" s="1"/>
  <c r="G52" i="14" s="1"/>
  <c r="E48" i="14"/>
  <c r="F48" i="14" s="1"/>
  <c r="G48" i="14" s="1"/>
  <c r="E44" i="14"/>
  <c r="F44" i="14" s="1"/>
  <c r="G44" i="14" s="1"/>
  <c r="E59" i="14"/>
  <c r="F59" i="14" s="1"/>
  <c r="G59" i="14" s="1"/>
  <c r="E55" i="14"/>
  <c r="F55" i="14" s="1"/>
  <c r="G55" i="14" s="1"/>
  <c r="E51" i="14"/>
  <c r="F51" i="14" s="1"/>
  <c r="G51" i="14" s="1"/>
  <c r="E47" i="14"/>
  <c r="F47" i="14" s="1"/>
  <c r="G47" i="14" s="1"/>
  <c r="E43" i="14"/>
  <c r="F43" i="14" s="1"/>
  <c r="G43" i="14" s="1"/>
  <c r="H43" i="14"/>
  <c r="E49" i="14"/>
  <c r="F49" i="14" s="1"/>
  <c r="G49" i="14" s="1"/>
  <c r="E62" i="14"/>
  <c r="F62" i="14" s="1"/>
  <c r="G62" i="14" s="1"/>
  <c r="E61" i="14"/>
  <c r="F61" i="14" s="1"/>
  <c r="G61" i="14" s="1"/>
  <c r="E54" i="14"/>
  <c r="F54" i="14" s="1"/>
  <c r="G54" i="14" s="1"/>
  <c r="E53" i="14"/>
  <c r="F53" i="14" s="1"/>
  <c r="G53" i="14" s="1"/>
  <c r="E58" i="14"/>
  <c r="F58" i="14" s="1"/>
  <c r="G58" i="14" s="1"/>
  <c r="E46" i="14"/>
  <c r="F46" i="14" s="1"/>
  <c r="G46" i="14" s="1"/>
  <c r="E57" i="14"/>
  <c r="F57" i="14" s="1"/>
  <c r="G57" i="14" s="1"/>
  <c r="E45" i="14"/>
  <c r="F45" i="14" s="1"/>
  <c r="G45" i="14" s="1"/>
  <c r="E50" i="14"/>
  <c r="F50" i="14" s="1"/>
  <c r="G50" i="14" s="1"/>
  <c r="I6" i="12"/>
  <c r="E8" i="12"/>
  <c r="F8" i="12" s="1"/>
  <c r="G8" i="12" s="1"/>
  <c r="E7" i="12"/>
  <c r="F7" i="12" s="1"/>
  <c r="G7" i="12" s="1"/>
  <c r="G10" i="12"/>
  <c r="H44" i="14" l="1"/>
  <c r="H45" i="14" s="1"/>
  <c r="H46" i="14" s="1"/>
  <c r="H47" i="14" s="1"/>
  <c r="H48" i="14" s="1"/>
  <c r="H49" i="14" s="1"/>
  <c r="H50" i="14" s="1"/>
  <c r="H51" i="14" s="1"/>
  <c r="H52" i="14" s="1"/>
  <c r="H53" i="14" s="1"/>
  <c r="H54" i="14" s="1"/>
  <c r="H55" i="14" s="1"/>
  <c r="H56" i="14" s="1"/>
  <c r="H57" i="14" s="1"/>
  <c r="H58" i="14" s="1"/>
  <c r="H59" i="14" s="1"/>
  <c r="H60" i="14" s="1"/>
  <c r="H61" i="14" s="1"/>
  <c r="H62" i="14" s="1"/>
  <c r="H41" i="13"/>
  <c r="H42" i="13" s="1"/>
  <c r="H43" i="13" s="1"/>
  <c r="H44" i="13" s="1"/>
  <c r="H45" i="13" s="1"/>
  <c r="H46" i="13" s="1"/>
  <c r="H47" i="13" s="1"/>
  <c r="H48" i="13" s="1"/>
  <c r="H49" i="13" s="1"/>
  <c r="H50" i="13" s="1"/>
  <c r="H51" i="13" s="1"/>
  <c r="H52" i="13" s="1"/>
  <c r="H53" i="13" s="1"/>
  <c r="H54" i="13" s="1"/>
  <c r="H55" i="13" s="1"/>
  <c r="H56" i="13" s="1"/>
  <c r="H57" i="13" s="1"/>
  <c r="H58" i="13" s="1"/>
  <c r="H59" i="13" s="1"/>
  <c r="H60" i="13" s="1"/>
  <c r="H7" i="12"/>
  <c r="H8" i="12" s="1"/>
  <c r="H9" i="12" s="1"/>
  <c r="H10" i="12" s="1"/>
  <c r="E20" i="7"/>
  <c r="F20" i="7" s="1"/>
  <c r="G20" i="7" s="1"/>
  <c r="E19" i="7"/>
  <c r="F19" i="7" s="1"/>
  <c r="G19" i="7" s="1"/>
  <c r="I18" i="7"/>
  <c r="E22" i="7"/>
  <c r="F22" i="7" s="1"/>
  <c r="G22" i="7" s="1"/>
  <c r="G24" i="7"/>
  <c r="E21" i="7"/>
  <c r="F21" i="7" s="1"/>
  <c r="G21" i="7" s="1"/>
  <c r="H19" i="7"/>
  <c r="H20" i="7" s="1"/>
  <c r="G25" i="7"/>
  <c r="G26" i="7"/>
  <c r="G23" i="7"/>
  <c r="H21" i="7" l="1"/>
  <c r="H22" i="7" s="1"/>
  <c r="H23" i="7" s="1"/>
  <c r="H24" i="7" s="1"/>
  <c r="H25" i="7" s="1"/>
  <c r="H26" i="7" s="1"/>
  <c r="I10" i="12"/>
  <c r="E11" i="12"/>
  <c r="F11" i="12" s="1"/>
  <c r="G11" i="12" s="1"/>
  <c r="G18" i="12"/>
  <c r="G17" i="12"/>
  <c r="E12" i="12"/>
  <c r="F12" i="12" s="1"/>
  <c r="G12" i="12" s="1"/>
  <c r="H11" i="12"/>
  <c r="H12" i="12" s="1"/>
  <c r="H13" i="12" s="1"/>
  <c r="H14" i="12" s="1"/>
  <c r="G14" i="12"/>
  <c r="G13" i="12"/>
  <c r="E15" i="12" l="1"/>
  <c r="F15" i="12" s="1"/>
  <c r="G15" i="12" s="1"/>
  <c r="H15" i="12"/>
  <c r="I14" i="12"/>
  <c r="E16" i="12"/>
  <c r="F16" i="12" s="1"/>
  <c r="G16" i="12" s="1"/>
  <c r="E27" i="7"/>
  <c r="F27" i="7" s="1"/>
  <c r="G27" i="7" s="1"/>
  <c r="E28" i="7"/>
  <c r="F28" i="7" s="1"/>
  <c r="G28" i="7" s="1"/>
  <c r="G31" i="7"/>
  <c r="E30" i="7"/>
  <c r="F30" i="7" s="1"/>
  <c r="G30" i="7" s="1"/>
  <c r="E29" i="7"/>
  <c r="F29" i="7" s="1"/>
  <c r="G29" i="7" s="1"/>
  <c r="H27" i="7"/>
  <c r="H28" i="7" s="1"/>
  <c r="H29" i="7" s="1"/>
  <c r="H30" i="7" s="1"/>
  <c r="I26" i="7"/>
  <c r="G32" i="7"/>
  <c r="G33" i="7"/>
  <c r="G34" i="7"/>
  <c r="K30" i="4" l="1"/>
  <c r="H31" i="7"/>
  <c r="H32" i="7" s="1"/>
  <c r="H33" i="7" s="1"/>
  <c r="H34" i="7" s="1"/>
  <c r="H16" i="12"/>
  <c r="H17" i="12" s="1"/>
  <c r="H18" i="12" s="1"/>
  <c r="E20" i="12" l="1"/>
  <c r="F20" i="12" s="1"/>
  <c r="G20" i="12" s="1"/>
  <c r="I18" i="12"/>
  <c r="E19" i="12"/>
  <c r="F19" i="12" s="1"/>
  <c r="G19" i="12" s="1"/>
  <c r="E37" i="7"/>
  <c r="F37" i="7" s="1"/>
  <c r="G37" i="7" s="1"/>
  <c r="E38" i="7"/>
  <c r="F38" i="7" s="1"/>
  <c r="G38" i="7" s="1"/>
  <c r="E36" i="7"/>
  <c r="F36" i="7" s="1"/>
  <c r="G36" i="7" s="1"/>
  <c r="E35" i="7"/>
  <c r="F35" i="7" s="1"/>
  <c r="G35" i="7" s="1"/>
  <c r="I34" i="7"/>
  <c r="K31" i="4"/>
  <c r="C3" i="4" s="1"/>
  <c r="K32" i="4" l="1"/>
  <c r="C4" i="4"/>
  <c r="E10" i="4"/>
  <c r="E8" i="4"/>
  <c r="E7" i="4"/>
  <c r="E9" i="4"/>
  <c r="H19" i="12"/>
  <c r="H20" i="12" s="1"/>
  <c r="H35" i="7"/>
  <c r="H36" i="7" s="1"/>
  <c r="H37" i="7" s="1"/>
  <c r="H38" i="7" s="1"/>
  <c r="K33" i="4" l="1"/>
</calcChain>
</file>

<file path=xl/sharedStrings.xml><?xml version="1.0" encoding="utf-8"?>
<sst xmlns="http://schemas.openxmlformats.org/spreadsheetml/2006/main" count="1076" uniqueCount="263">
  <si>
    <t>Portfolio</t>
  </si>
  <si>
    <t>Active YTD Return %</t>
  </si>
  <si>
    <t>Quant Rotation</t>
  </si>
  <si>
    <t>Quant 60/40</t>
  </si>
  <si>
    <t>SPY (Benchmark)</t>
  </si>
  <si>
    <t>Whale 20 Conservative</t>
  </si>
  <si>
    <t>Whale 20 Growth</t>
  </si>
  <si>
    <t>ARK Fund (Benchmark)</t>
  </si>
  <si>
    <t>Market</t>
  </si>
  <si>
    <t>Ticker</t>
  </si>
  <si>
    <t>Daily $</t>
  </si>
  <si>
    <t>Daily %</t>
  </si>
  <si>
    <t>YTD</t>
  </si>
  <si>
    <t>S&amp;P 500</t>
  </si>
  <si>
    <t>SPY</t>
  </si>
  <si>
    <t>Nasdaq 100</t>
  </si>
  <si>
    <t>QQQ</t>
  </si>
  <si>
    <t>Dow Jones</t>
  </si>
  <si>
    <t>DIA</t>
  </si>
  <si>
    <t>Mid Caps</t>
  </si>
  <si>
    <t>MDY</t>
  </si>
  <si>
    <t>Small Caps</t>
  </si>
  <si>
    <t>IWM</t>
  </si>
  <si>
    <t>EVs</t>
  </si>
  <si>
    <t>IDRV</t>
  </si>
  <si>
    <t>AI Revolution</t>
  </si>
  <si>
    <t>IRBO</t>
  </si>
  <si>
    <t>Clean Energy</t>
  </si>
  <si>
    <t>ICLN</t>
  </si>
  <si>
    <t>ARK</t>
  </si>
  <si>
    <t>ARKK</t>
  </si>
  <si>
    <t>Healthcare</t>
  </si>
  <si>
    <t>HEAL</t>
  </si>
  <si>
    <t>Blockchain</t>
  </si>
  <si>
    <t>BLOK</t>
  </si>
  <si>
    <t>YTD Return</t>
  </si>
  <si>
    <t>1yr Return</t>
  </si>
  <si>
    <t>3yr Return</t>
  </si>
  <si>
    <t>5yr Return</t>
  </si>
  <si>
    <t>All World 60/40 (Benchmark)</t>
  </si>
  <si>
    <t>Whale Watching - Conservative</t>
  </si>
  <si>
    <t>Portfolio Returns</t>
  </si>
  <si>
    <t>1yr</t>
  </si>
  <si>
    <t>3yr</t>
  </si>
  <si>
    <t>5yr</t>
  </si>
  <si>
    <t>All World 60/40</t>
  </si>
  <si>
    <t>2018- To Date</t>
  </si>
  <si>
    <t>2016 - To Date</t>
  </si>
  <si>
    <t>2011 - To date</t>
  </si>
  <si>
    <t>Contributed Capital</t>
  </si>
  <si>
    <t>Portfolio Value</t>
  </si>
  <si>
    <t>% Gain/Loss</t>
  </si>
  <si>
    <t>Benchmark (SPY)</t>
  </si>
  <si>
    <t>Name</t>
  </si>
  <si>
    <t>Market Price</t>
  </si>
  <si>
    <t>Daily Return</t>
  </si>
  <si>
    <t>%W</t>
  </si>
  <si>
    <t>%A</t>
  </si>
  <si>
    <t>Entry Price</t>
  </si>
  <si>
    <t>Shares</t>
  </si>
  <si>
    <t>Cost Basis</t>
  </si>
  <si>
    <t>Return</t>
  </si>
  <si>
    <t>Gain Loss</t>
  </si>
  <si>
    <t>SPGP</t>
  </si>
  <si>
    <t>VCR</t>
  </si>
  <si>
    <t>VFH</t>
  </si>
  <si>
    <t>VHT</t>
  </si>
  <si>
    <t>Unrealized G/L $</t>
  </si>
  <si>
    <t>Unrealized Return</t>
  </si>
  <si>
    <t>Cash $</t>
  </si>
  <si>
    <t>Holdings $</t>
  </si>
  <si>
    <t>Cash %</t>
  </si>
  <si>
    <t>Holdings %</t>
  </si>
  <si>
    <t>End Date</t>
  </si>
  <si>
    <t>Starting Weights</t>
  </si>
  <si>
    <t>Bench Return</t>
  </si>
  <si>
    <t>Benchmark</t>
  </si>
  <si>
    <t>AMZN,MSFT,MTUM,VHT</t>
  </si>
  <si>
    <t>25.0000%,25.0000%,25.0000%,25.0000%</t>
  </si>
  <si>
    <t>FB,MTUM,TLH,TLT</t>
  </si>
  <si>
    <t>MDY,TLH,TLT,VCR</t>
  </si>
  <si>
    <t>AAPL,MDY,VCR,VGT</t>
  </si>
  <si>
    <t>AMZN,IWM,MDY,VFH</t>
  </si>
  <si>
    <t>AMZN,MDY,VFH,VGT</t>
  </si>
  <si>
    <t>MTUM,TLH,TLT,VHT</t>
  </si>
  <si>
    <t>AMZN,MSFT,QQQ,VGT</t>
  </si>
  <si>
    <t>MSFT,QQQ,VFH,VGT</t>
  </si>
  <si>
    <t>AAPL,AMZN,QQQ,VGT</t>
  </si>
  <si>
    <t>AAPL,MSFT,VFH,VGT</t>
  </si>
  <si>
    <t>IWM,MDY,VCR,VFH</t>
  </si>
  <si>
    <t>AAPL,IWM,MSFT,VFH</t>
  </si>
  <si>
    <t>AAPL,QQQ,VCR,VGT</t>
  </si>
  <si>
    <t>AAPL,QQQ,VGT,VHT</t>
  </si>
  <si>
    <t>AAPL,AMZN,FB,MTUM</t>
  </si>
  <si>
    <t>AMZN,FB,QQQ,SPGP</t>
  </si>
  <si>
    <t>AMZN,MTUM,SPGP,TLT</t>
  </si>
  <si>
    <t>MTUM,SPGP,TLT,VHT</t>
  </si>
  <si>
    <t>FB,MTUM,SPGP,VFH</t>
  </si>
  <si>
    <t>AAPL,FB,MSFT,VHT</t>
  </si>
  <si>
    <t>IWM,MTUM,SPGP,VGT</t>
  </si>
  <si>
    <t>AMZN,MSFT,MTUM,VGT</t>
  </si>
  <si>
    <t>AMZN,MDY,MTUM,VCR</t>
  </si>
  <si>
    <t>MSFT,MTUM,SPGP,VCR</t>
  </si>
  <si>
    <t>AMZN,QQQ,SPGP,VCR</t>
  </si>
  <si>
    <t>AMZN,MSFT,MTUM,VCR</t>
  </si>
  <si>
    <t>IWM,MDY,SPGP,TLT</t>
  </si>
  <si>
    <t>AMZN,IWM,MSFT,TLH</t>
  </si>
  <si>
    <t>AMZN,FB,IWM,MSFT</t>
  </si>
  <si>
    <t>AMZN,FB,IWM,VCR</t>
  </si>
  <si>
    <t>AAPL,AMZN,MSFT,VHT</t>
  </si>
  <si>
    <t>AAPL,AMZN,VGT,VHT</t>
  </si>
  <si>
    <t>AAPL,MSFT,MTUM,VHT</t>
  </si>
  <si>
    <t>AAPL,TLH,TLT,VHT</t>
  </si>
  <si>
    <t>TLH,TLT,VFH,VHT</t>
  </si>
  <si>
    <t>AMZN,FB,SPGP,VCR</t>
  </si>
  <si>
    <t>FB,MTUM,SPGP,VGT</t>
  </si>
  <si>
    <t>FB,MSFT,QQQ,VGT</t>
  </si>
  <si>
    <t>MSFT,MTUM,TLH,TLT</t>
  </si>
  <si>
    <t>FB,MSFT,SPGP,VGT</t>
  </si>
  <si>
    <t>MTUM,TLH,TLT,VFH</t>
  </si>
  <si>
    <t>AAPL,TLH,VCR,VFH</t>
  </si>
  <si>
    <t>AAPL,QQQ,SPGP,VHT</t>
  </si>
  <si>
    <t>AAPL,MSFT,VGT,VHT</t>
  </si>
  <si>
    <t>AAPL,MSFT,MTUM,TLT</t>
  </si>
  <si>
    <t>AMZN,MTUM,TLH,TLT</t>
  </si>
  <si>
    <t>AMZN,QQQ,TLH,TLT</t>
  </si>
  <si>
    <t>AMZN,TLH,TLT,VHT</t>
  </si>
  <si>
    <t>AAPL,FB,QQQ,VGT</t>
  </si>
  <si>
    <t>AAPL,AMZN,QQQ,VCR</t>
  </si>
  <si>
    <t>SPGP,TLH,VCR,VHT</t>
  </si>
  <si>
    <t>FB,IWM,MDY,SPGP</t>
  </si>
  <si>
    <t>IWM,MDY,SPGP,VCR</t>
  </si>
  <si>
    <t>IWM,MDY,SPGP,VFH</t>
  </si>
  <si>
    <t>MDY,SPGP,VCR,VFH</t>
  </si>
  <si>
    <t>FB,SPGP,VCR,VFH</t>
  </si>
  <si>
    <t>MDY,SPGP,VFH,VHT</t>
  </si>
  <si>
    <t>AAPL,MSFT,QQQ,VGT</t>
  </si>
  <si>
    <t>Year</t>
  </si>
  <si>
    <t>Total Return</t>
  </si>
  <si>
    <t>SPY Total Return</t>
  </si>
  <si>
    <t>Price</t>
  </si>
  <si>
    <t>Cost</t>
  </si>
  <si>
    <t>% of Portfolio</t>
  </si>
  <si>
    <t>Cash Balance</t>
  </si>
  <si>
    <t>BUY</t>
  </si>
  <si>
    <t>SELL</t>
  </si>
  <si>
    <t>% Allocation</t>
  </si>
  <si>
    <t>Portfolio Weighted Return</t>
  </si>
  <si>
    <t>TLT</t>
  </si>
  <si>
    <t>Monthly Gain/Loss</t>
  </si>
  <si>
    <t>Start</t>
  </si>
  <si>
    <t>End</t>
  </si>
  <si>
    <t>IWM,JNK</t>
  </si>
  <si>
    <t>60.0000%,40.0000%</t>
  </si>
  <si>
    <t>JNK,MDY</t>
  </si>
  <si>
    <t>40.0000%,60.0000%</t>
  </si>
  <si>
    <t>JNK,SPY</t>
  </si>
  <si>
    <t>QQQ,TLT</t>
  </si>
  <si>
    <t>JNK,QQQ</t>
  </si>
  <si>
    <t>Whale Watching - Growth</t>
  </si>
  <si>
    <t>SHY,TLT</t>
  </si>
  <si>
    <t>MDY,TLT</t>
  </si>
  <si>
    <t>IWM,TLT</t>
  </si>
  <si>
    <t>JNK,SHY</t>
  </si>
  <si>
    <t>SPY,TLT</t>
  </si>
  <si>
    <t>5 Year</t>
  </si>
  <si>
    <t>3 Year</t>
  </si>
  <si>
    <t>1 Year</t>
  </si>
  <si>
    <t>TYD</t>
  </si>
  <si>
    <t>QQQ, JNK</t>
  </si>
  <si>
    <t>JNK</t>
  </si>
  <si>
    <t>FLGT</t>
  </si>
  <si>
    <t>OMI</t>
  </si>
  <si>
    <t>LAZY</t>
  </si>
  <si>
    <t>LEU</t>
  </si>
  <si>
    <t>NLS</t>
  </si>
  <si>
    <t>GSL</t>
  </si>
  <si>
    <t>UMC</t>
  </si>
  <si>
    <t>SMTS</t>
  </si>
  <si>
    <t>VICI</t>
  </si>
  <si>
    <t>HZO</t>
  </si>
  <si>
    <t>CTRE</t>
  </si>
  <si>
    <t>VSTO</t>
  </si>
  <si>
    <t>TROX</t>
  </si>
  <si>
    <t>FVE</t>
  </si>
  <si>
    <t>ENVA</t>
  </si>
  <si>
    <t>GRBK</t>
  </si>
  <si>
    <t>LPG</t>
  </si>
  <si>
    <t>LAKE</t>
  </si>
  <si>
    <t>IMPUY</t>
  </si>
  <si>
    <t>DAC</t>
  </si>
  <si>
    <t>NMM</t>
  </si>
  <si>
    <t>BCS</t>
  </si>
  <si>
    <t>VALE</t>
  </si>
  <si>
    <t>DQ</t>
  </si>
  <si>
    <t>LB</t>
  </si>
  <si>
    <t>SBSW</t>
  </si>
  <si>
    <t>TX</t>
  </si>
  <si>
    <t>BCEI</t>
  </si>
  <si>
    <t>LNVGY</t>
  </si>
  <si>
    <t>CBRE</t>
  </si>
  <si>
    <t>COWN</t>
  </si>
  <si>
    <t>RCKY</t>
  </si>
  <si>
    <t>MU</t>
  </si>
  <si>
    <t>AVIO</t>
  </si>
  <si>
    <t>NXST</t>
  </si>
  <si>
    <t>SCCO</t>
  </si>
  <si>
    <t>ALGN</t>
  </si>
  <si>
    <t>SMLR</t>
  </si>
  <si>
    <t>CMBM</t>
  </si>
  <si>
    <t>JAGGF</t>
  </si>
  <si>
    <t>APPS</t>
  </si>
  <si>
    <t>HALO</t>
  </si>
  <si>
    <t>VRTS</t>
  </si>
  <si>
    <t>OMF</t>
  </si>
  <si>
    <t>SID</t>
  </si>
  <si>
    <t>FCX</t>
  </si>
  <si>
    <t>SF</t>
  </si>
  <si>
    <t>OSB</t>
  </si>
  <si>
    <t>GTBIF</t>
  </si>
  <si>
    <t>RM</t>
  </si>
  <si>
    <t>EVR</t>
  </si>
  <si>
    <t>WAL</t>
  </si>
  <si>
    <t>ANGPY</t>
  </si>
  <si>
    <t>SONO</t>
  </si>
  <si>
    <t>SSP</t>
  </si>
  <si>
    <t>INMD</t>
  </si>
  <si>
    <t>ZDGE</t>
  </si>
  <si>
    <t>MESA</t>
  </si>
  <si>
    <t>LPX</t>
  </si>
  <si>
    <t>IPI</t>
  </si>
  <si>
    <t>WEIGHTS (40,30,30)</t>
  </si>
  <si>
    <t>05-'19</t>
  </si>
  <si>
    <t>10-'20</t>
  </si>
  <si>
    <t>15-'20</t>
  </si>
  <si>
    <t>CAGR</t>
  </si>
  <si>
    <t>VOL</t>
  </si>
  <si>
    <t>Max DD</t>
  </si>
  <si>
    <t>American Muscle</t>
  </si>
  <si>
    <t xml:space="preserve">Original + </t>
  </si>
  <si>
    <t>American Muscle2</t>
  </si>
  <si>
    <t>Adds IWM &amp; XLG</t>
  </si>
  <si>
    <t>American Muscle3</t>
  </si>
  <si>
    <t>ADD IWM</t>
  </si>
  <si>
    <t>American Muscle4</t>
  </si>
  <si>
    <t>ADD IWM and SPGP</t>
  </si>
  <si>
    <t>American Muscle5</t>
  </si>
  <si>
    <t>ADD - VBR &amp; VBK</t>
  </si>
  <si>
    <t>NO WEIGHTS</t>
  </si>
  <si>
    <t>ADD - VBR &amp; VBK, SPGP &amp; IWM</t>
  </si>
  <si>
    <t>Lean Muscle1</t>
  </si>
  <si>
    <t>Original +</t>
  </si>
  <si>
    <t>Lean Muscle2</t>
  </si>
  <si>
    <t>ADD IWM &amp; SPGP</t>
  </si>
  <si>
    <t>Lean Muscle3</t>
  </si>
  <si>
    <t>Add IWM &amp; XLG</t>
  </si>
  <si>
    <t>ETF Risk on/OFF</t>
  </si>
  <si>
    <t>60-40</t>
  </si>
  <si>
    <t>50-50</t>
  </si>
  <si>
    <t>w/SPGP &amp; XLG</t>
  </si>
  <si>
    <t>Whale Rotation</t>
  </si>
  <si>
    <t>Conservative ETF Rotation</t>
  </si>
  <si>
    <t>Growth ETF Rotation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</si>
</sst>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m/d/yy"/>
    <numFmt numFmtId="165" formatCode="&quot;$&quot;#,##0"/>
    <numFmt numFmtId="166" formatCode="0.0%"/>
    <numFmt numFmtId="167" formatCode="&quot;$&quot;#,##0.00"/>
    <numFmt numFmtId="168" formatCode="m/d"/>
    <numFmt numFmtId="169" formatCode="mmm\-d"/>
    <numFmt numFmtId="170" formatCode="mmmm\-d"/>
    <numFmt numFmtId="171" formatCode="mmm&quot;-&quot;yy"/>
    <numFmt numFmtId="172" formatCode="mmm&quot;-&quot;d"/>
  </numFmts>
  <fonts count="28">
    <font>
      <sz val="10"/>
      <color rgb="FF000000"/>
      <name val="Arial"/>
    </font>
    <font>
      <b/>
      <sz val="10"/>
      <color theme="1"/>
      <name val="Roboto"/>
    </font>
    <font>
      <sz val="10"/>
      <color theme="1"/>
      <name val="Roboto"/>
    </font>
    <font>
      <b/>
      <sz val="10"/>
      <color theme="1"/>
      <name val="Arial"/>
    </font>
    <font>
      <sz val="10"/>
      <color rgb="FF777777"/>
      <name val="Roboto"/>
    </font>
    <font>
      <sz val="10"/>
      <color theme="1"/>
      <name val="Arial"/>
    </font>
    <font>
      <sz val="11"/>
      <color theme="1"/>
      <name val="Roboto"/>
    </font>
    <font>
      <sz val="10"/>
      <color rgb="FF777777"/>
      <name val="Calibri"/>
    </font>
    <font>
      <sz val="10"/>
      <color theme="1"/>
      <name val="Calibri"/>
    </font>
    <font>
      <b/>
      <sz val="10"/>
      <color theme="1"/>
      <name val="Calibri"/>
    </font>
    <font>
      <sz val="10"/>
      <color theme="1"/>
      <name val="Calibri"/>
    </font>
    <font>
      <i/>
      <sz val="10"/>
      <color theme="1"/>
      <name val="Calibri"/>
    </font>
    <font>
      <i/>
      <sz val="10"/>
      <color theme="1"/>
      <name val="Calibri"/>
    </font>
    <font>
      <sz val="12"/>
      <color rgb="FF00A892"/>
      <name val="Roboto"/>
    </font>
    <font>
      <b/>
      <sz val="11"/>
      <color theme="1"/>
      <name val="Arial"/>
    </font>
    <font>
      <sz val="10"/>
      <color rgb="FF000000"/>
      <name val="Arial"/>
    </font>
    <font>
      <sz val="10"/>
      <color rgb="FF1155CC"/>
      <name val="Calibri"/>
    </font>
    <font>
      <sz val="11"/>
      <color rgb="FF000000"/>
      <name val="Calibri"/>
    </font>
    <font>
      <b/>
      <sz val="12"/>
      <color rgb="FF000000"/>
      <name val="Helvetica-Neue"/>
    </font>
    <font>
      <b/>
      <sz val="12"/>
      <color rgb="FF000000"/>
      <name val="Arial"/>
    </font>
    <font>
      <sz val="12"/>
      <color rgb="FF000000"/>
      <name val="Helvetica-Neue"/>
    </font>
    <font>
      <sz val="12"/>
      <color rgb="FF404040"/>
      <name val="Helvetica-Neue"/>
    </font>
    <font>
      <sz val="10"/>
      <color rgb="FFCC0000"/>
      <name val="Calibri"/>
    </font>
    <font>
      <sz val="10"/>
      <color rgb="FF000000"/>
      <name val="Calibri"/>
    </font>
    <font>
      <b/>
      <sz val="11"/>
      <color rgb="FF000000"/>
      <name val="Calibri"/>
    </font>
    <font>
      <sz val="10"/>
      <name val="Arial"/>
    </font>
    <font>
      <sz val="10"/>
      <color rgb="FFFF0000"/>
      <name val="Roboto"/>
    </font>
    <font>
      <sz val="10"/>
      <color rgb="FF000000"/>
      <name val="Roboto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CCCCC"/>
      </patternFill>
    </fill>
    <fill>
      <patternFill patternType="solid">
        <fgColor rgb="FFA4C2F4"/>
        <bgColor rgb="FFA4C2F4"/>
      </patternFill>
    </fill>
  </fills>
  <borders count="11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5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/>
    <xf numFmtId="10" fontId="2" fillId="0" borderId="0" xfId="0" applyNumberFormat="1" applyFont="1" applyAlignment="1"/>
    <xf numFmtId="164" fontId="2" fillId="0" borderId="0" xfId="0" applyNumberFormat="1" applyFont="1" applyAlignment="1"/>
    <xf numFmtId="10" fontId="2" fillId="0" borderId="0" xfId="0" applyNumberFormat="1" applyFont="1"/>
    <xf numFmtId="0" fontId="3" fillId="0" borderId="0" xfId="0" applyFont="1" applyAlignment="1"/>
    <xf numFmtId="0" fontId="1" fillId="0" borderId="0" xfId="0" applyFont="1" applyAlignment="1"/>
    <xf numFmtId="164" fontId="1" fillId="0" borderId="0" xfId="0" applyNumberFormat="1" applyFont="1" applyAlignment="1">
      <alignment horizontal="right"/>
    </xf>
    <xf numFmtId="0" fontId="4" fillId="2" borderId="0" xfId="0" applyFont="1" applyFill="1"/>
    <xf numFmtId="4" fontId="2" fillId="0" borderId="0" xfId="0" applyNumberFormat="1" applyFont="1"/>
    <xf numFmtId="0" fontId="5" fillId="0" borderId="0" xfId="0" applyFont="1" applyAlignment="1"/>
    <xf numFmtId="165" fontId="2" fillId="0" borderId="0" xfId="0" applyNumberFormat="1" applyFont="1"/>
    <xf numFmtId="0" fontId="6" fillId="0" borderId="0" xfId="0" applyFont="1" applyAlignment="1"/>
    <xf numFmtId="3" fontId="2" fillId="0" borderId="0" xfId="0" applyNumberFormat="1" applyFont="1" applyAlignment="1"/>
    <xf numFmtId="166" fontId="5" fillId="0" borderId="0" xfId="0" applyNumberFormat="1" applyFont="1"/>
    <xf numFmtId="0" fontId="5" fillId="0" borderId="0" xfId="0" applyFont="1" applyAlignment="1"/>
    <xf numFmtId="10" fontId="5" fillId="0" borderId="0" xfId="0" applyNumberFormat="1" applyFont="1"/>
    <xf numFmtId="0" fontId="7" fillId="2" borderId="0" xfId="0" applyFont="1" applyFill="1"/>
    <xf numFmtId="0" fontId="8" fillId="2" borderId="0" xfId="0" applyFont="1" applyFill="1" applyAlignment="1">
      <alignment horizontal="left"/>
    </xf>
    <xf numFmtId="0" fontId="9" fillId="2" borderId="1" xfId="0" applyFont="1" applyFill="1" applyBorder="1" applyAlignment="1">
      <alignment horizontal="right"/>
    </xf>
    <xf numFmtId="0" fontId="8" fillId="2" borderId="0" xfId="0" applyFont="1" applyFill="1" applyAlignment="1">
      <alignment horizontal="right"/>
    </xf>
    <xf numFmtId="10" fontId="10" fillId="2" borderId="0" xfId="0" applyNumberFormat="1" applyFont="1" applyFill="1" applyAlignment="1">
      <alignment horizontal="right"/>
    </xf>
    <xf numFmtId="10" fontId="12" fillId="2" borderId="0" xfId="0" applyNumberFormat="1" applyFont="1" applyFill="1" applyAlignment="1">
      <alignment horizontal="right"/>
    </xf>
    <xf numFmtId="10" fontId="13" fillId="2" borderId="0" xfId="0" applyNumberFormat="1" applyFont="1" applyFill="1" applyAlignment="1">
      <alignment vertical="top"/>
    </xf>
    <xf numFmtId="10" fontId="5" fillId="0" borderId="0" xfId="0" applyNumberFormat="1" applyFont="1" applyAlignment="1"/>
    <xf numFmtId="14" fontId="14" fillId="0" borderId="0" xfId="0" applyNumberFormat="1" applyFont="1" applyAlignment="1"/>
    <xf numFmtId="14" fontId="14" fillId="0" borderId="0" xfId="0" applyNumberFormat="1" applyFont="1"/>
    <xf numFmtId="0" fontId="10" fillId="0" borderId="0" xfId="0" applyFont="1" applyAlignment="1"/>
    <xf numFmtId="10" fontId="10" fillId="0" borderId="0" xfId="0" applyNumberFormat="1" applyFont="1"/>
    <xf numFmtId="10" fontId="10" fillId="0" borderId="0" xfId="0" applyNumberFormat="1" applyFont="1" applyAlignment="1"/>
    <xf numFmtId="10" fontId="4" fillId="2" borderId="0" xfId="0" applyNumberFormat="1" applyFont="1" applyFill="1"/>
    <xf numFmtId="10" fontId="4" fillId="2" borderId="0" xfId="0" applyNumberFormat="1" applyFont="1" applyFill="1" applyAlignment="1"/>
    <xf numFmtId="0" fontId="8" fillId="0" borderId="0" xfId="0" applyFont="1"/>
    <xf numFmtId="0" fontId="9" fillId="0" borderId="0" xfId="0" applyFont="1" applyAlignment="1"/>
    <xf numFmtId="0" fontId="9" fillId="0" borderId="0" xfId="0" applyFont="1"/>
    <xf numFmtId="167" fontId="9" fillId="0" borderId="0" xfId="0" applyNumberFormat="1" applyFont="1" applyAlignment="1"/>
    <xf numFmtId="10" fontId="9" fillId="0" borderId="0" xfId="0" applyNumberFormat="1" applyFont="1"/>
    <xf numFmtId="0" fontId="8" fillId="0" borderId="0" xfId="0" applyFont="1" applyAlignment="1"/>
    <xf numFmtId="10" fontId="9" fillId="0" borderId="0" xfId="0" applyNumberFormat="1" applyFont="1" applyAlignment="1"/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0" fontId="8" fillId="2" borderId="0" xfId="0" applyFont="1" applyFill="1" applyAlignment="1">
      <alignment horizontal="left"/>
    </xf>
    <xf numFmtId="0" fontId="8" fillId="2" borderId="0" xfId="0" applyFont="1" applyFill="1" applyAlignment="1">
      <alignment horizontal="center"/>
    </xf>
    <xf numFmtId="10" fontId="8" fillId="0" borderId="0" xfId="0" applyNumberFormat="1" applyFont="1"/>
    <xf numFmtId="166" fontId="8" fillId="0" borderId="0" xfId="0" applyNumberFormat="1" applyFont="1" applyAlignment="1"/>
    <xf numFmtId="4" fontId="8" fillId="0" borderId="0" xfId="0" applyNumberFormat="1" applyFont="1"/>
    <xf numFmtId="2" fontId="8" fillId="0" borderId="0" xfId="0" applyNumberFormat="1" applyFont="1"/>
    <xf numFmtId="0" fontId="15" fillId="2" borderId="0" xfId="0" applyFont="1" applyFill="1" applyAlignment="1">
      <alignment horizontal="left"/>
    </xf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2" xfId="0" applyFont="1" applyBorder="1" applyAlignment="1"/>
    <xf numFmtId="167" fontId="9" fillId="0" borderId="3" xfId="0" applyNumberFormat="1" applyFont="1" applyBorder="1"/>
    <xf numFmtId="0" fontId="9" fillId="0" borderId="4" xfId="0" applyFont="1" applyBorder="1" applyAlignment="1"/>
    <xf numFmtId="10" fontId="9" fillId="0" borderId="5" xfId="0" applyNumberFormat="1" applyFont="1" applyBorder="1"/>
    <xf numFmtId="10" fontId="16" fillId="2" borderId="0" xfId="0" applyNumberFormat="1" applyFont="1" applyFill="1"/>
    <xf numFmtId="9" fontId="8" fillId="0" borderId="0" xfId="0" applyNumberFormat="1" applyFont="1" applyAlignment="1"/>
    <xf numFmtId="167" fontId="9" fillId="0" borderId="3" xfId="0" applyNumberFormat="1" applyFont="1" applyBorder="1" applyAlignment="1"/>
    <xf numFmtId="0" fontId="9" fillId="0" borderId="6" xfId="0" applyFont="1" applyBorder="1" applyAlignment="1"/>
    <xf numFmtId="167" fontId="9" fillId="0" borderId="7" xfId="0" applyNumberFormat="1" applyFont="1" applyBorder="1" applyAlignment="1"/>
    <xf numFmtId="166" fontId="9" fillId="0" borderId="3" xfId="0" applyNumberFormat="1" applyFont="1" applyBorder="1" applyAlignment="1"/>
    <xf numFmtId="166" fontId="9" fillId="0" borderId="7" xfId="0" applyNumberFormat="1" applyFont="1" applyBorder="1" applyAlignment="1"/>
    <xf numFmtId="168" fontId="8" fillId="0" borderId="0" xfId="0" applyNumberFormat="1" applyFont="1" applyAlignment="1"/>
    <xf numFmtId="2" fontId="5" fillId="0" borderId="0" xfId="0" applyNumberFormat="1" applyFont="1"/>
    <xf numFmtId="0" fontId="5" fillId="0" borderId="0" xfId="0" applyFont="1"/>
    <xf numFmtId="4" fontId="5" fillId="0" borderId="0" xfId="0" applyNumberFormat="1" applyFont="1"/>
    <xf numFmtId="3" fontId="5" fillId="0" borderId="0" xfId="0" applyNumberFormat="1" applyFont="1"/>
    <xf numFmtId="3" fontId="8" fillId="0" borderId="0" xfId="0" applyNumberFormat="1" applyFont="1"/>
    <xf numFmtId="0" fontId="17" fillId="0" borderId="0" xfId="0" applyFont="1" applyAlignment="1"/>
    <xf numFmtId="169" fontId="17" fillId="0" borderId="0" xfId="0" applyNumberFormat="1" applyFont="1" applyAlignment="1">
      <alignment horizontal="right"/>
    </xf>
    <xf numFmtId="10" fontId="17" fillId="0" borderId="0" xfId="0" applyNumberFormat="1" applyFont="1" applyAlignment="1">
      <alignment horizontal="right"/>
    </xf>
    <xf numFmtId="2" fontId="17" fillId="3" borderId="0" xfId="0" applyNumberFormat="1" applyFont="1" applyFill="1" applyAlignment="1"/>
    <xf numFmtId="170" fontId="17" fillId="0" borderId="0" xfId="0" applyNumberFormat="1" applyFont="1" applyAlignment="1">
      <alignment horizontal="right"/>
    </xf>
    <xf numFmtId="2" fontId="17" fillId="0" borderId="0" xfId="0" applyNumberFormat="1" applyFont="1" applyAlignment="1"/>
    <xf numFmtId="171" fontId="17" fillId="0" borderId="0" xfId="0" applyNumberFormat="1" applyFont="1" applyAlignment="1">
      <alignment horizontal="right"/>
    </xf>
    <xf numFmtId="0" fontId="17" fillId="0" borderId="0" xfId="0" applyFont="1" applyAlignment="1"/>
    <xf numFmtId="0" fontId="18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5" fillId="0" borderId="0" xfId="0" applyFont="1"/>
    <xf numFmtId="0" fontId="20" fillId="4" borderId="0" xfId="0" applyFont="1" applyFill="1" applyAlignment="1">
      <alignment horizontal="left" vertical="top"/>
    </xf>
    <xf numFmtId="10" fontId="20" fillId="4" borderId="0" xfId="0" applyNumberFormat="1" applyFont="1" applyFill="1" applyAlignment="1">
      <alignment horizontal="right" vertical="top"/>
    </xf>
    <xf numFmtId="0" fontId="20" fillId="2" borderId="0" xfId="0" applyFont="1" applyFill="1" applyAlignment="1">
      <alignment horizontal="left" vertical="top"/>
    </xf>
    <xf numFmtId="10" fontId="20" fillId="2" borderId="0" xfId="0" applyNumberFormat="1" applyFont="1" applyFill="1" applyAlignment="1">
      <alignment horizontal="right" vertical="top"/>
    </xf>
    <xf numFmtId="10" fontId="20" fillId="2" borderId="0" xfId="0" applyNumberFormat="1" applyFont="1" applyFill="1" applyAlignment="1">
      <alignment horizontal="right" vertical="top"/>
    </xf>
    <xf numFmtId="0" fontId="21" fillId="4" borderId="0" xfId="0" applyFont="1" applyFill="1" applyAlignment="1">
      <alignment horizontal="left" vertical="top"/>
    </xf>
    <xf numFmtId="10" fontId="21" fillId="4" borderId="0" xfId="0" applyNumberFormat="1" applyFont="1" applyFill="1" applyAlignment="1">
      <alignment horizontal="right" vertical="top"/>
    </xf>
    <xf numFmtId="0" fontId="22" fillId="0" borderId="0" xfId="0" applyFont="1" applyAlignment="1"/>
    <xf numFmtId="3" fontId="9" fillId="0" borderId="0" xfId="0" applyNumberFormat="1" applyFont="1"/>
    <xf numFmtId="10" fontId="9" fillId="5" borderId="0" xfId="0" applyNumberFormat="1" applyFont="1" applyFill="1"/>
    <xf numFmtId="0" fontId="8" fillId="0" borderId="0" xfId="0" applyFont="1" applyAlignment="1"/>
    <xf numFmtId="0" fontId="8" fillId="0" borderId="0" xfId="0" applyFont="1"/>
    <xf numFmtId="0" fontId="9" fillId="0" borderId="1" xfId="0" applyFont="1" applyBorder="1" applyAlignment="1">
      <alignment horizontal="center"/>
    </xf>
    <xf numFmtId="0" fontId="23" fillId="2" borderId="0" xfId="0" applyFont="1" applyFill="1" applyAlignment="1">
      <alignment horizontal="left"/>
    </xf>
    <xf numFmtId="0" fontId="9" fillId="0" borderId="1" xfId="0" applyFont="1" applyBorder="1" applyAlignment="1"/>
    <xf numFmtId="10" fontId="9" fillId="0" borderId="1" xfId="0" applyNumberFormat="1" applyFont="1" applyBorder="1"/>
    <xf numFmtId="10" fontId="8" fillId="2" borderId="0" xfId="0" applyNumberFormat="1" applyFont="1" applyFill="1" applyAlignment="1">
      <alignment horizontal="right"/>
    </xf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24" fillId="0" borderId="0" xfId="0" applyFont="1" applyAlignment="1"/>
    <xf numFmtId="10" fontId="24" fillId="0" borderId="0" xfId="0" applyNumberFormat="1" applyFont="1" applyAlignment="1"/>
    <xf numFmtId="14" fontId="17" fillId="0" borderId="0" xfId="0" applyNumberFormat="1" applyFont="1" applyAlignment="1">
      <alignment horizontal="right"/>
    </xf>
    <xf numFmtId="0" fontId="23" fillId="0" borderId="0" xfId="0" applyFont="1" applyAlignment="1"/>
    <xf numFmtId="10" fontId="23" fillId="0" borderId="0" xfId="0" applyNumberFormat="1" applyFont="1" applyAlignment="1">
      <alignment horizontal="right"/>
    </xf>
    <xf numFmtId="167" fontId="9" fillId="0" borderId="0" xfId="0" applyNumberFormat="1" applyFont="1"/>
    <xf numFmtId="166" fontId="9" fillId="0" borderId="0" xfId="0" applyNumberFormat="1" applyFont="1" applyAlignment="1"/>
    <xf numFmtId="10" fontId="17" fillId="0" borderId="0" xfId="0" applyNumberFormat="1" applyFont="1" applyAlignment="1"/>
    <xf numFmtId="10" fontId="17" fillId="6" borderId="0" xfId="0" applyNumberFormat="1" applyFont="1" applyFill="1" applyAlignment="1">
      <alignment horizontal="right"/>
    </xf>
    <xf numFmtId="0" fontId="5" fillId="6" borderId="0" xfId="0" applyFont="1" applyFill="1" applyAlignment="1"/>
    <xf numFmtId="172" fontId="17" fillId="0" borderId="0" xfId="0" applyNumberFormat="1" applyFont="1" applyAlignment="1">
      <alignment horizontal="right"/>
    </xf>
    <xf numFmtId="10" fontId="17" fillId="0" borderId="0" xfId="0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2" fillId="7" borderId="0" xfId="0" applyFont="1" applyFill="1" applyAlignment="1"/>
    <xf numFmtId="0" fontId="2" fillId="0" borderId="10" xfId="0" applyFont="1" applyBorder="1" applyAlignment="1"/>
    <xf numFmtId="10" fontId="2" fillId="5" borderId="0" xfId="0" applyNumberFormat="1" applyFont="1" applyFill="1" applyAlignment="1"/>
    <xf numFmtId="10" fontId="2" fillId="7" borderId="0" xfId="0" applyNumberFormat="1" applyFont="1" applyFill="1" applyAlignment="1"/>
    <xf numFmtId="10" fontId="2" fillId="7" borderId="0" xfId="0" applyNumberFormat="1" applyFont="1" applyFill="1"/>
    <xf numFmtId="10" fontId="26" fillId="7" borderId="0" xfId="0" applyNumberFormat="1" applyFont="1" applyFill="1" applyAlignment="1"/>
    <xf numFmtId="0" fontId="27" fillId="0" borderId="0" xfId="0" applyFont="1" applyAlignment="1"/>
    <xf numFmtId="10" fontId="27" fillId="0" borderId="0" xfId="0" applyNumberFormat="1" applyFont="1" applyAlignment="1">
      <alignment horizontal="right"/>
    </xf>
    <xf numFmtId="0" fontId="8" fillId="2" borderId="0" xfId="0" applyFont="1" applyFill="1" applyAlignment="1">
      <alignment horizontal="right"/>
    </xf>
    <xf numFmtId="0" fontId="0" fillId="0" borderId="0" xfId="0" applyFont="1" applyAlignment="1"/>
    <xf numFmtId="10" fontId="0" fillId="0" borderId="0" xfId="0" applyNumberFormat="1" applyFont="1" applyAlignment="1"/>
    <xf numFmtId="0" fontId="11" fillId="2" borderId="0" xfId="0" applyFont="1" applyFill="1" applyAlignment="1">
      <alignment horizontal="right"/>
    </xf>
    <xf numFmtId="0" fontId="0" fillId="0" borderId="0" xfId="0" applyFont="1" applyAlignment="1"/>
    <xf numFmtId="0" fontId="8" fillId="2" borderId="0" xfId="0" applyFont="1" applyFill="1" applyAlignment="1">
      <alignment horizontal="right"/>
    </xf>
    <xf numFmtId="0" fontId="17" fillId="0" borderId="0" xfId="0" applyFont="1" applyAlignment="1">
      <alignment horizontal="center"/>
    </xf>
    <xf numFmtId="10" fontId="17" fillId="0" borderId="0" xfId="0" applyNumberFormat="1" applyFont="1" applyAlignment="1">
      <alignment horizontal="center"/>
    </xf>
    <xf numFmtId="0" fontId="2" fillId="0" borderId="8" xfId="0" quotePrefix="1" applyFont="1" applyBorder="1" applyAlignment="1">
      <alignment horizontal="center"/>
    </xf>
    <xf numFmtId="0" fontId="25" fillId="0" borderId="1" xfId="0" applyFont="1" applyBorder="1"/>
    <xf numFmtId="0" fontId="25" fillId="0" borderId="9" xfId="0" applyFont="1" applyBorder="1"/>
    <xf numFmtId="0" fontId="9" fillId="0" borderId="0" xfId="0" applyFont="1" applyBorder="1" applyAlignment="1"/>
    <xf numFmtId="10" fontId="9" fillId="0" borderId="0" xfId="0" applyNumberFormat="1" applyFont="1" applyBorder="1"/>
  </cellXfs>
  <cellStyles count="1">
    <cellStyle name="Normal" xfId="0" builtinId="0"/>
  </cellStyles>
  <dxfs count="8"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YTD Performance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4A86E8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6AA84F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CD72-4FC2-8219-E137087C2A15}"/>
              </c:ext>
            </c:extLst>
          </c:dPt>
          <c:dPt>
            <c:idx val="1"/>
            <c:invertIfNegative val="1"/>
            <c:bubble3D val="0"/>
            <c:spPr>
              <a:solidFill>
                <a:srgbClr val="6AA84F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3-CD72-4FC2-8219-E137087C2A15}"/>
              </c:ext>
            </c:extLst>
          </c:dPt>
          <c:dPt>
            <c:idx val="2"/>
            <c:invertIfNegative val="1"/>
            <c:bubble3D val="0"/>
            <c:spPr>
              <a:solidFill>
                <a:srgbClr val="FF0000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5-CD72-4FC2-8219-E137087C2A15}"/>
              </c:ext>
            </c:extLst>
          </c:dPt>
          <c:dPt>
            <c:idx val="3"/>
            <c:invertIfNegative val="1"/>
            <c:bubble3D val="0"/>
            <c:spPr>
              <a:solidFill>
                <a:srgbClr val="6D9EEB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7-CD72-4FC2-8219-E137087C2A15}"/>
              </c:ext>
            </c:extLst>
          </c:dPt>
          <c:dPt>
            <c:idx val="4"/>
            <c:invertIfNegative val="1"/>
            <c:bubble3D val="0"/>
            <c:spPr>
              <a:solidFill>
                <a:srgbClr val="6D9EEB"/>
              </a:solidFill>
              <a:ln cmpd="sng">
                <a:solidFill>
                  <a:srgbClr val="000000">
                    <a:alpha val="100000"/>
                  </a:srgbClr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CD72-4FC2-8219-E137087C2A15}"/>
              </c:ext>
            </c:extLst>
          </c:dPt>
          <c:dPt>
            <c:idx val="5"/>
            <c:invertIfNegative val="1"/>
            <c:bubble3D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B-CD72-4FC2-8219-E137087C2A15}"/>
              </c:ext>
            </c:extLst>
          </c:dPt>
          <c:dPt>
            <c:idx val="6"/>
            <c:invertIfNegative val="1"/>
            <c:bubble3D val="0"/>
            <c:spPr>
              <a:solidFill>
                <a:srgbClr val="B7B7B7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D-CD72-4FC2-8219-E137087C2A15}"/>
              </c:ext>
            </c:extLst>
          </c:dPt>
          <c:dPt>
            <c:idx val="7"/>
            <c:invertIfNegative val="1"/>
            <c:bubble3D val="0"/>
            <c:spPr>
              <a:solidFill>
                <a:srgbClr val="B7B7B7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F-CD72-4FC2-8219-E137087C2A15}"/>
              </c:ext>
            </c:extLst>
          </c:dPt>
          <c:dPt>
            <c:idx val="8"/>
            <c:invertIfNegative val="1"/>
            <c:bubble3D val="0"/>
            <c:spPr>
              <a:solidFill>
                <a:srgbClr val="B7B7B7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11-CD72-4FC2-8219-E137087C2A15}"/>
              </c:ext>
            </c:extLst>
          </c:dPt>
          <c:dPt>
            <c:idx val="9"/>
            <c:invertIfNegative val="1"/>
            <c:bubble3D val="0"/>
            <c:spPr>
              <a:solidFill>
                <a:srgbClr val="FF0000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13-CD72-4FC2-8219-E137087C2A15}"/>
              </c:ext>
            </c:extLst>
          </c:dPt>
          <c:dPt>
            <c:idx val="10"/>
            <c:invertIfNegative val="1"/>
            <c:bubble3D val="0"/>
            <c:spPr>
              <a:solidFill>
                <a:srgbClr val="FF0000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15-CD72-4FC2-8219-E137087C2A1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Dashboard!$A$2:$A$7</c:f>
              <c:strCache>
                <c:ptCount val="6"/>
                <c:pt idx="0">
                  <c:v>Quant Rotation</c:v>
                </c:pt>
                <c:pt idx="1">
                  <c:v>Quant 60/40</c:v>
                </c:pt>
                <c:pt idx="2">
                  <c:v>SPY (Benchmark)</c:v>
                </c:pt>
                <c:pt idx="3">
                  <c:v>Whale 20 Conservative</c:v>
                </c:pt>
                <c:pt idx="4">
                  <c:v>Whale 20 Growth</c:v>
                </c:pt>
                <c:pt idx="5">
                  <c:v>ARK Fund (Benchmark)</c:v>
                </c:pt>
              </c:strCache>
            </c:strRef>
          </c:cat>
          <c:val>
            <c:numRef>
              <c:f>Dashboard!$B$2:$B$7</c:f>
              <c:numCache>
                <c:formatCode>0.00%</c:formatCode>
                <c:ptCount val="6"/>
                <c:pt idx="0">
                  <c:v>0.21419292459133724</c:v>
                </c:pt>
                <c:pt idx="1">
                  <c:v>0.21564176148274589</c:v>
                </c:pt>
                <c:pt idx="2">
                  <c:v>0.24027224165514238</c:v>
                </c:pt>
                <c:pt idx="3">
                  <c:v>0</c:v>
                </c:pt>
                <c:pt idx="4">
                  <c:v>0</c:v>
                </c:pt>
                <c:pt idx="5">
                  <c:v>-0.20587055898628603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16-CD72-4FC2-8219-E137087C2A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39447060"/>
        <c:axId val="1016853584"/>
      </c:barChart>
      <c:catAx>
        <c:axId val="12394470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016853584"/>
        <c:crosses val="autoZero"/>
        <c:auto val="1"/>
        <c:lblAlgn val="ctr"/>
        <c:lblOffset val="100"/>
        <c:noMultiLvlLbl val="1"/>
      </c:catAx>
      <c:valAx>
        <c:axId val="101685358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239447060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Growth ETF Rotation</a:t>
            </a:r>
          </a:p>
        </c:rich>
      </c:tx>
      <c:layout>
        <c:manualLayout>
          <c:xMode val="edge"/>
          <c:yMode val="edge"/>
          <c:x val="2.7455357142857142E-2"/>
          <c:y val="5.2710027100270999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Rotation Monthly Returns'!$K$23</c:f>
              <c:strCache>
                <c:ptCount val="1"/>
                <c:pt idx="0">
                  <c:v>Quant Rotation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Returns'!$L$22:$O$22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Rotation Monthly Returns'!$L$23:$O$23</c:f>
              <c:numCache>
                <c:formatCode>0.00%</c:formatCode>
                <c:ptCount val="4"/>
                <c:pt idx="0">
                  <c:v>0.21419292459133724</c:v>
                </c:pt>
                <c:pt idx="1">
                  <c:v>0.33328079601582156</c:v>
                </c:pt>
                <c:pt idx="2">
                  <c:v>1.3236841992242365</c:v>
                </c:pt>
                <c:pt idx="3">
                  <c:v>2.8495425187854848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67-4A2F-9856-85D76C8A1F91}"/>
            </c:ext>
          </c:extLst>
        </c:ser>
        <c:ser>
          <c:idx val="1"/>
          <c:order val="1"/>
          <c:tx>
            <c:strRef>
              <c:f>'Quant Rotation Monthly Returns'!$K$24</c:f>
              <c:strCache>
                <c:ptCount val="1"/>
                <c:pt idx="0">
                  <c:v>SPY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Returns'!$L$22:$O$22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Rotation Monthly Returns'!$L$24:$O$24</c:f>
              <c:numCache>
                <c:formatCode>0.00%</c:formatCode>
                <c:ptCount val="4"/>
                <c:pt idx="0">
                  <c:v>0.159160388866768</c:v>
                </c:pt>
                <c:pt idx="1">
                  <c:v>0.25115869150003872</c:v>
                </c:pt>
                <c:pt idx="2">
                  <c:v>0.56656026359576006</c:v>
                </c:pt>
                <c:pt idx="3">
                  <c:v>1.1749100022986758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67-4A2F-9856-85D76C8A1F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887090223"/>
        <c:axId val="884938897"/>
      </c:barChart>
      <c:catAx>
        <c:axId val="188709022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4938897"/>
        <c:crosses val="autoZero"/>
        <c:auto val="1"/>
        <c:lblAlgn val="ctr"/>
        <c:lblOffset val="100"/>
        <c:noMultiLvlLbl val="1"/>
      </c:catAx>
      <c:valAx>
        <c:axId val="88493889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70902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Conservative ETF Rotation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Stats'!$K$22</c:f>
              <c:strCache>
                <c:ptCount val="1"/>
                <c:pt idx="0">
                  <c:v>Quant 60/40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Stats'!$L$22:$O$22</c:f>
              <c:numCache>
                <c:formatCode>0.00%</c:formatCode>
                <c:ptCount val="4"/>
                <c:pt idx="0">
                  <c:v>0.21564176148274589</c:v>
                </c:pt>
                <c:pt idx="1">
                  <c:v>0.28904707360811999</c:v>
                </c:pt>
                <c:pt idx="2">
                  <c:v>0.93375905027554318</c:v>
                </c:pt>
                <c:pt idx="3">
                  <c:v>1.346236389847373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66-4003-8847-93EB248143D1}"/>
            </c:ext>
          </c:extLst>
        </c:ser>
        <c:ser>
          <c:idx val="1"/>
          <c:order val="1"/>
          <c:tx>
            <c:strRef>
              <c:f>'Quant 6040 Stats'!$K$23</c:f>
              <c:strCache>
                <c:ptCount val="1"/>
                <c:pt idx="0">
                  <c:v>All World 60/40 (Benchmark)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2-1D66-4003-8847-93EB248143D1}"/>
              </c:ext>
            </c:extLst>
          </c:dPt>
          <c:dPt>
            <c:idx val="1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4-1D66-4003-8847-93EB248143D1}"/>
              </c:ext>
            </c:extLst>
          </c:dPt>
          <c:dPt>
            <c:idx val="2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6-1D66-4003-8847-93EB248143D1}"/>
              </c:ext>
            </c:extLst>
          </c:dPt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8-1D66-4003-8847-93EB248143D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Stats'!$L$23:$O$23</c:f>
              <c:numCache>
                <c:formatCode>0.00%</c:formatCode>
                <c:ptCount val="4"/>
                <c:pt idx="0">
                  <c:v>4.4900508367269151E-2</c:v>
                </c:pt>
                <c:pt idx="1">
                  <c:v>7.4281020861540037E-2</c:v>
                </c:pt>
                <c:pt idx="2">
                  <c:v>0.33049972264295369</c:v>
                </c:pt>
                <c:pt idx="3">
                  <c:v>0.5430372748862442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D66-4003-8847-93EB248143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3967291"/>
        <c:axId val="2126504429"/>
      </c:barChart>
      <c:catAx>
        <c:axId val="396729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6504429"/>
        <c:crosses val="autoZero"/>
        <c:auto val="1"/>
        <c:lblAlgn val="ctr"/>
        <c:lblOffset val="100"/>
        <c:noMultiLvlLbl val="1"/>
      </c:catAx>
      <c:valAx>
        <c:axId val="212650442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672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Whale Rotation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Charts!$A$47</c:f>
              <c:strCache>
                <c:ptCount val="1"/>
                <c:pt idx="0">
                  <c:v>Whale Rotation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Charts!$B$46:$E$46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Charts!$B$47:$E$47</c:f>
              <c:numCache>
                <c:formatCode>0.00%</c:formatCode>
                <c:ptCount val="4"/>
                <c:pt idx="0">
                  <c:v>9.6799999999999997E-2</c:v>
                </c:pt>
                <c:pt idx="1">
                  <c:v>0.32500000000000001</c:v>
                </c:pt>
                <c:pt idx="2">
                  <c:v>0.7409</c:v>
                </c:pt>
                <c:pt idx="3">
                  <c:v>1.5375000000000001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0-4E9E-ACC7-F3AA57AEC3FF}"/>
            </c:ext>
          </c:extLst>
        </c:ser>
        <c:ser>
          <c:idx val="1"/>
          <c:order val="1"/>
          <c:tx>
            <c:strRef>
              <c:f>Charts!$A$48</c:f>
              <c:strCache>
                <c:ptCount val="1"/>
                <c:pt idx="0">
                  <c:v>S&amp;P 500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1"/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1-7B00-4E9E-ACC7-F3AA57AEC3F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Charts!$B$46:$E$46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Charts!$B$48:$E$48</c:f>
              <c:numCache>
                <c:formatCode>0.00%</c:formatCode>
                <c:ptCount val="4"/>
                <c:pt idx="0">
                  <c:v>0.12377086578709605</c:v>
                </c:pt>
                <c:pt idx="1">
                  <c:v>0.39851336905764062</c:v>
                </c:pt>
                <c:pt idx="2">
                  <c:v>0.62516594010816595</c:v>
                </c:pt>
                <c:pt idx="3">
                  <c:v>1.1880924857031794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00-4E9E-ACC7-F3AA57AEC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798467994"/>
        <c:axId val="1332859320"/>
      </c:barChart>
      <c:catAx>
        <c:axId val="79846799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2859320"/>
        <c:crosses val="autoZero"/>
        <c:auto val="1"/>
        <c:lblAlgn val="ctr"/>
        <c:lblOffset val="100"/>
        <c:noMultiLvlLbl val="1"/>
      </c:catAx>
      <c:valAx>
        <c:axId val="1332859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846799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YTD Weekly Range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Stats!$B$2:$B$6</c:f>
              <c:numCache>
                <c:formatCode>General</c:formatCode>
                <c:ptCount val="5"/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5764-43E3-88E3-E383DD15ED88}"/>
            </c:ext>
          </c:extLst>
        </c:ser>
        <c:ser>
          <c:idx val="1"/>
          <c:order val="1"/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Stats!$C$2:$C$6</c:f>
              <c:numCache>
                <c:formatCode>General</c:formatCode>
                <c:ptCount val="5"/>
                <c:pt idx="2" formatCode="0.00%">
                  <c:v>1.0155697321815677E-2</c:v>
                </c:pt>
                <c:pt idx="3" formatCode="0.00%">
                  <c:v>7.056532137665468E-2</c:v>
                </c:pt>
                <c:pt idx="4" formatCode="0.00%">
                  <c:v>1.7299999999999999E-2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5764-43E3-88E3-E383DD15ED88}"/>
            </c:ext>
          </c:extLst>
        </c:ser>
        <c:ser>
          <c:idx val="2"/>
          <c:order val="2"/>
          <c:spPr>
            <a:solidFill>
              <a:srgbClr val="FBBC04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Stats!$D$2:$D$6</c:f>
              <c:numCache>
                <c:formatCode>General</c:formatCode>
                <c:ptCount val="5"/>
                <c:pt idx="2" formatCode="0.00%">
                  <c:v>1.6520348811449703E-2</c:v>
                </c:pt>
                <c:pt idx="3" formatCode="0.00%">
                  <c:v>-3.799682389057752E-2</c:v>
                </c:pt>
                <c:pt idx="4" formatCode="0.00%">
                  <c:v>2.6100000000000002E-2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5764-43E3-88E3-E383DD15ED88}"/>
            </c:ext>
          </c:extLst>
        </c:ser>
        <c:ser>
          <c:idx val="3"/>
          <c:order val="3"/>
          <c:spPr>
            <a:solidFill>
              <a:srgbClr val="34A853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Stats!$E$2:$E$6</c:f>
              <c:numCache>
                <c:formatCode>General</c:formatCode>
                <c:ptCount val="5"/>
                <c:pt idx="2" formatCode="0.00%">
                  <c:v>3.8512708770172224E-2</c:v>
                </c:pt>
                <c:pt idx="3" formatCode="0.00%">
                  <c:v>1.7106290025866236E-2</c:v>
                </c:pt>
                <c:pt idx="4" formatCode="0.00%">
                  <c:v>5.3999999999999999E-2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5764-43E3-88E3-E383DD15ED88}"/>
            </c:ext>
          </c:extLst>
        </c:ser>
        <c:ser>
          <c:idx val="4"/>
          <c:order val="4"/>
          <c:spPr>
            <a:solidFill>
              <a:srgbClr val="FF6D01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Stats!$F$2:$F$6</c:f>
              <c:numCache>
                <c:formatCode>0.00%</c:formatCode>
                <c:ptCount val="5"/>
                <c:pt idx="2">
                  <c:v>3.1633101192491686E-2</c:v>
                </c:pt>
                <c:pt idx="3">
                  <c:v>-3.0266103226407937E-2</c:v>
                </c:pt>
                <c:pt idx="4">
                  <c:v>4.5100000000000001E-2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4-5764-43E3-88E3-E383DD15ED88}"/>
            </c:ext>
          </c:extLst>
        </c:ser>
        <c:ser>
          <c:idx val="5"/>
          <c:order val="5"/>
          <c:spPr>
            <a:solidFill>
              <a:srgbClr val="46BDC6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Stats!$G$2:$G$6</c:f>
              <c:numCache>
                <c:formatCode>General</c:formatCode>
                <c:ptCount val="5"/>
                <c:pt idx="2" formatCode="0.00%">
                  <c:v>6.3717092446463119E-2</c:v>
                </c:pt>
                <c:pt idx="3" formatCode="0.00%">
                  <c:v>-1.7077232871451409E-2</c:v>
                </c:pt>
                <c:pt idx="4" formatCode="0.00%">
                  <c:v>7.4999999999999997E-2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5-5764-43E3-88E3-E383DD15ED88}"/>
            </c:ext>
          </c:extLst>
        </c:ser>
        <c:ser>
          <c:idx val="6"/>
          <c:order val="6"/>
          <c:spPr>
            <a:solidFill>
              <a:srgbClr val="D3E2FC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Stats!$H$2:$H$6</c:f>
              <c:numCache>
                <c:formatCode>0.00%</c:formatCode>
                <c:ptCount val="5"/>
                <c:pt idx="0">
                  <c:v>0.17158553267251664</c:v>
                </c:pt>
                <c:pt idx="1">
                  <c:v>9.9222125469738062E-2</c:v>
                </c:pt>
                <c:pt idx="2">
                  <c:v>0.10342593810124463</c:v>
                </c:pt>
                <c:pt idx="3">
                  <c:v>2.8414749827195107E-2</c:v>
                </c:pt>
                <c:pt idx="4">
                  <c:v>0.1042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6-5764-43E3-88E3-E383DD15ED88}"/>
            </c:ext>
          </c:extLst>
        </c:ser>
        <c:ser>
          <c:idx val="7"/>
          <c:order val="7"/>
          <c:spPr>
            <a:solidFill>
              <a:srgbClr val="F8C4C0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Stats!$I$2:$I$6</c:f>
              <c:numCache>
                <c:formatCode>0.00%</c:formatCode>
                <c:ptCount val="5"/>
                <c:pt idx="0">
                  <c:v>0.18853847001543364</c:v>
                </c:pt>
                <c:pt idx="1">
                  <c:v>0.11248096312349189</c:v>
                </c:pt>
                <c:pt idx="4">
                  <c:v>0.1197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7-5764-43E3-88E3-E383DD15ED88}"/>
            </c:ext>
          </c:extLst>
        </c:ser>
        <c:ser>
          <c:idx val="8"/>
          <c:order val="8"/>
          <c:spPr>
            <a:solidFill>
              <a:srgbClr val="FDE49B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Stats!$J$2:$J$6</c:f>
              <c:numCache>
                <c:formatCode>0.00%</c:formatCode>
                <c:ptCount val="5"/>
                <c:pt idx="0">
                  <c:v>0.18982894885258375</c:v>
                </c:pt>
                <c:pt idx="1">
                  <c:v>0.11872626521040602</c:v>
                </c:pt>
                <c:pt idx="2">
                  <c:v>0.11341350905103274</c:v>
                </c:pt>
                <c:pt idx="3">
                  <c:v>4.1751830823838258E-2</c:v>
                </c:pt>
                <c:pt idx="4">
                  <c:v>0.1183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8-5764-43E3-88E3-E383DD15ED88}"/>
            </c:ext>
          </c:extLst>
        </c:ser>
        <c:ser>
          <c:idx val="9"/>
          <c:order val="9"/>
          <c:spPr>
            <a:solidFill>
              <a:srgbClr val="96DFAA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Stats!$K$2:$K$6</c:f>
              <c:numCache>
                <c:formatCode>0.00%</c:formatCode>
                <c:ptCount val="5"/>
                <c:pt idx="0">
                  <c:v>0.19718997849967726</c:v>
                </c:pt>
                <c:pt idx="1">
                  <c:v>0.11419550332298586</c:v>
                </c:pt>
                <c:pt idx="2">
                  <c:v>0.11651070214767457</c:v>
                </c:pt>
                <c:pt idx="3">
                  <c:v>1.3871898499447571E-2</c:v>
                </c:pt>
                <c:pt idx="4">
                  <c:v>0.1198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9-5764-43E3-88E3-E383DD15ED88}"/>
            </c:ext>
          </c:extLst>
        </c:ser>
        <c:ser>
          <c:idx val="10"/>
          <c:order val="10"/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Stats!$L$2:$L$6</c:f>
              <c:numCache>
                <c:formatCode>0.00%</c:formatCode>
                <c:ptCount val="5"/>
                <c:pt idx="0">
                  <c:v>0.21931253228446349</c:v>
                </c:pt>
                <c:pt idx="1">
                  <c:v>0.12612119276227585</c:v>
                </c:pt>
                <c:pt idx="2">
                  <c:v>0.11903041943070913</c:v>
                </c:pt>
                <c:pt idx="3">
                  <c:v>-9.1884478936160557E-2</c:v>
                </c:pt>
                <c:pt idx="4">
                  <c:v>0.13270000000000001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764-43E3-88E3-E383DD15ED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9851567"/>
        <c:axId val="590258697"/>
      </c:barChart>
      <c:catAx>
        <c:axId val="53985156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590258697"/>
        <c:crosses val="autoZero"/>
        <c:auto val="1"/>
        <c:lblAlgn val="ctr"/>
        <c:lblOffset val="100"/>
        <c:noMultiLvlLbl val="1"/>
      </c:catAx>
      <c:valAx>
        <c:axId val="59025869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539851567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Monthly Returns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Rotation Monthly Returns'!$D$1</c:f>
              <c:strCache>
                <c:ptCount val="1"/>
                <c:pt idx="0">
                  <c:v>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Rotation Monthly Returns'!$A$2:$A$70</c:f>
              <c:numCache>
                <c:formatCode>mmm\-d</c:formatCode>
                <c:ptCount val="69"/>
                <c:pt idx="0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44438</c:v>
                </c:pt>
                <c:pt idx="68" formatCode="mmm&quot;-&quot;yy">
                  <c:v>44469</c:v>
                </c:pt>
              </c:numCache>
            </c:numRef>
          </c:cat>
          <c:val>
            <c:numRef>
              <c:f>'Quant Rotation Monthly Returns'!$D$2:$D$70</c:f>
              <c:numCache>
                <c:formatCode>0.00%</c:formatCode>
                <c:ptCount val="69"/>
                <c:pt idx="0">
                  <c:v>-6.7400000000000002E-2</c:v>
                </c:pt>
                <c:pt idx="1">
                  <c:v>-2.5999999999999999E-3</c:v>
                </c:pt>
                <c:pt idx="2">
                  <c:v>3.8399999999999997E-2</c:v>
                </c:pt>
                <c:pt idx="3">
                  <c:v>-4.3900000000000002E-2</c:v>
                </c:pt>
                <c:pt idx="4">
                  <c:v>4.1500000000000002E-2</c:v>
                </c:pt>
                <c:pt idx="5">
                  <c:v>-1.35E-2</c:v>
                </c:pt>
                <c:pt idx="6">
                  <c:v>2.7099999999999999E-2</c:v>
                </c:pt>
                <c:pt idx="7">
                  <c:v>1.6899999999999998E-2</c:v>
                </c:pt>
                <c:pt idx="8">
                  <c:v>6.6E-3</c:v>
                </c:pt>
                <c:pt idx="9">
                  <c:v>-1.8100000000000002E-2</c:v>
                </c:pt>
                <c:pt idx="10">
                  <c:v>3.3599999999999998E-2</c:v>
                </c:pt>
                <c:pt idx="11">
                  <c:v>2.35E-2</c:v>
                </c:pt>
                <c:pt idx="12">
                  <c:v>2.3099999999999999E-2</c:v>
                </c:pt>
                <c:pt idx="13">
                  <c:v>6.1100000000000002E-2</c:v>
                </c:pt>
                <c:pt idx="14">
                  <c:v>2.2499999999999999E-2</c:v>
                </c:pt>
                <c:pt idx="15">
                  <c:v>3.1699999999999999E-2</c:v>
                </c:pt>
                <c:pt idx="16">
                  <c:v>3.8600000000000002E-2</c:v>
                </c:pt>
                <c:pt idx="17">
                  <c:v>-2.3E-3</c:v>
                </c:pt>
                <c:pt idx="18">
                  <c:v>1.7600000000000001E-2</c:v>
                </c:pt>
                <c:pt idx="19">
                  <c:v>7.4000000000000003E-3</c:v>
                </c:pt>
                <c:pt idx="20">
                  <c:v>-1.47E-2</c:v>
                </c:pt>
                <c:pt idx="21">
                  <c:v>4.2599999999999999E-2</c:v>
                </c:pt>
                <c:pt idx="22">
                  <c:v>3.0099999999999998E-2</c:v>
                </c:pt>
                <c:pt idx="23">
                  <c:v>5.1000000000000004E-3</c:v>
                </c:pt>
                <c:pt idx="24">
                  <c:v>9.1200000000000003E-2</c:v>
                </c:pt>
                <c:pt idx="25">
                  <c:v>-5.7000000000000002E-3</c:v>
                </c:pt>
                <c:pt idx="26">
                  <c:v>-3.1800000000000002E-2</c:v>
                </c:pt>
                <c:pt idx="27">
                  <c:v>-1.4E-3</c:v>
                </c:pt>
                <c:pt idx="28">
                  <c:v>4.3900000000000002E-2</c:v>
                </c:pt>
                <c:pt idx="29">
                  <c:v>1.4999999999999999E-2</c:v>
                </c:pt>
                <c:pt idx="30">
                  <c:v>-8.8000000000000005E-3</c:v>
                </c:pt>
                <c:pt idx="31">
                  <c:v>0.1115</c:v>
                </c:pt>
                <c:pt idx="32">
                  <c:v>2.8E-3</c:v>
                </c:pt>
                <c:pt idx="33">
                  <c:v>-6.8000000000000005E-2</c:v>
                </c:pt>
                <c:pt idx="34">
                  <c:v>-2.0400000000000001E-2</c:v>
                </c:pt>
                <c:pt idx="35">
                  <c:v>-2.64E-2</c:v>
                </c:pt>
                <c:pt idx="36">
                  <c:v>3.3000000000000002E-2</c:v>
                </c:pt>
                <c:pt idx="37">
                  <c:v>-3.2000000000000002E-3</c:v>
                </c:pt>
                <c:pt idx="38">
                  <c:v>2.8299999999999999E-2</c:v>
                </c:pt>
                <c:pt idx="39">
                  <c:v>6.4199999999999993E-2</c:v>
                </c:pt>
                <c:pt idx="40">
                  <c:v>-7.5700000000000003E-2</c:v>
                </c:pt>
                <c:pt idx="41">
                  <c:v>4.1399999999999999E-2</c:v>
                </c:pt>
                <c:pt idx="42">
                  <c:v>2.0199999999999999E-2</c:v>
                </c:pt>
                <c:pt idx="43">
                  <c:v>3.2000000000000001E-2</c:v>
                </c:pt>
                <c:pt idx="44">
                  <c:v>-1.1900000000000001E-2</c:v>
                </c:pt>
                <c:pt idx="45">
                  <c:v>3.3300000000000003E-2</c:v>
                </c:pt>
                <c:pt idx="46">
                  <c:v>5.6500000000000002E-2</c:v>
                </c:pt>
                <c:pt idx="47">
                  <c:v>5.0999999999999997E-2</c:v>
                </c:pt>
                <c:pt idx="48">
                  <c:v>3.6600000000000001E-2</c:v>
                </c:pt>
                <c:pt idx="49">
                  <c:v>-4.1500000000000002E-2</c:v>
                </c:pt>
                <c:pt idx="50">
                  <c:v>0.01</c:v>
                </c:pt>
                <c:pt idx="51">
                  <c:v>0.10879999999999999</c:v>
                </c:pt>
                <c:pt idx="52">
                  <c:v>2.2000000000000001E-3</c:v>
                </c:pt>
                <c:pt idx="53">
                  <c:v>7.2300000000000003E-2</c:v>
                </c:pt>
                <c:pt idx="54">
                  <c:v>0.1113</c:v>
                </c:pt>
                <c:pt idx="55">
                  <c:v>0.13650000000000001</c:v>
                </c:pt>
                <c:pt idx="56">
                  <c:v>-7.0000000000000007E-2</c:v>
                </c:pt>
                <c:pt idx="57">
                  <c:v>-1.8700000000000001E-2</c:v>
                </c:pt>
                <c:pt idx="58">
                  <c:v>0.12809999999999999</c:v>
                </c:pt>
                <c:pt idx="59">
                  <c:v>6.6600000000000006E-2</c:v>
                </c:pt>
                <c:pt idx="60">
                  <c:v>2.3E-2</c:v>
                </c:pt>
                <c:pt idx="61">
                  <c:v>5.2900000000000003E-2</c:v>
                </c:pt>
                <c:pt idx="62">
                  <c:v>4.2599999999999999E-2</c:v>
                </c:pt>
                <c:pt idx="63">
                  <c:v>5.4300000000000001E-2</c:v>
                </c:pt>
                <c:pt idx="64">
                  <c:v>1.0500000000000001E-2</c:v>
                </c:pt>
                <c:pt idx="65">
                  <c:v>7.000000000000001E-4</c:v>
                </c:pt>
                <c:pt idx="66">
                  <c:v>4.4800000000000006E-2</c:v>
                </c:pt>
                <c:pt idx="67">
                  <c:v>4.53E-2</c:v>
                </c:pt>
                <c:pt idx="68">
                  <c:v>-7.1400000000000005E-2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32C0-4BC7-A6A5-0F28ACC361B8}"/>
            </c:ext>
          </c:extLst>
        </c:ser>
        <c:ser>
          <c:idx val="1"/>
          <c:order val="1"/>
          <c:tx>
            <c:strRef>
              <c:f>'Quant Rotation Monthly Returns'!$B$1</c:f>
              <c:strCache>
                <c:ptCount val="1"/>
                <c:pt idx="0">
                  <c:v>Portfolio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Rotation Monthly Returns'!$A$2:$A$70</c:f>
              <c:numCache>
                <c:formatCode>mmm\-d</c:formatCode>
                <c:ptCount val="69"/>
                <c:pt idx="0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44438</c:v>
                </c:pt>
                <c:pt idx="68" formatCode="mmm&quot;-&quot;yy">
                  <c:v>44469</c:v>
                </c:pt>
              </c:numCache>
            </c:numRef>
          </c:cat>
          <c:val>
            <c:numRef>
              <c:f>'Quant Rotation Monthly Returns'!$B$2:$B$70</c:f>
              <c:numCache>
                <c:formatCode>General</c:formatCode>
                <c:ptCount val="6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32C0-4BC7-A6A5-0F28ACC361B8}"/>
            </c:ext>
          </c:extLst>
        </c:ser>
        <c:ser>
          <c:idx val="2"/>
          <c:order val="2"/>
          <c:tx>
            <c:strRef>
              <c:f>'Quant Rotation Monthly Returns'!$C$1</c:f>
              <c:strCache>
                <c:ptCount val="1"/>
                <c:pt idx="0">
                  <c:v>Starting Weights</c:v>
                </c:pt>
              </c:strCache>
            </c:strRef>
          </c:tx>
          <c:invertIfNegative val="1"/>
          <c:cat>
            <c:numRef>
              <c:f>'Quant Rotation Monthly Returns'!$A$2:$A$70</c:f>
              <c:numCache>
                <c:formatCode>mmm\-d</c:formatCode>
                <c:ptCount val="69"/>
                <c:pt idx="0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44438</c:v>
                </c:pt>
                <c:pt idx="68" formatCode="mmm&quot;-&quot;yy">
                  <c:v>44469</c:v>
                </c:pt>
              </c:numCache>
            </c:numRef>
          </c:cat>
          <c:val>
            <c:numRef>
              <c:f>'Quant Rotation Monthly Returns'!$C$2:$C$70</c:f>
              <c:numCache>
                <c:formatCode>General</c:formatCode>
                <c:ptCount val="6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2C0-4BC7-A6A5-0F28ACC361B8}"/>
            </c:ext>
          </c:extLst>
        </c:ser>
        <c:ser>
          <c:idx val="3"/>
          <c:order val="3"/>
          <c:tx>
            <c:strRef>
              <c:f>'Quant Rotation Monthly Returns'!$E$1</c:f>
              <c:strCache>
                <c:ptCount val="1"/>
                <c:pt idx="0">
                  <c:v>Bench Return</c:v>
                </c:pt>
              </c:strCache>
            </c:strRef>
          </c:tx>
          <c:invertIfNegative val="1"/>
          <c:cat>
            <c:numRef>
              <c:f>'Quant Rotation Monthly Returns'!$A$2:$A$70</c:f>
              <c:numCache>
                <c:formatCode>mmm\-d</c:formatCode>
                <c:ptCount val="69"/>
                <c:pt idx="0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44438</c:v>
                </c:pt>
                <c:pt idx="68" formatCode="mmm&quot;-&quot;yy">
                  <c:v>44469</c:v>
                </c:pt>
              </c:numCache>
            </c:numRef>
          </c:cat>
          <c:val>
            <c:numRef>
              <c:f>'Quant Rotation Monthly Returns'!$E$2:$E$70</c:f>
              <c:numCache>
                <c:formatCode>0.00%</c:formatCode>
                <c:ptCount val="69"/>
                <c:pt idx="0">
                  <c:v>-4.9799999999999997E-2</c:v>
                </c:pt>
                <c:pt idx="1">
                  <c:v>-8.0000000000000004E-4</c:v>
                </c:pt>
                <c:pt idx="2">
                  <c:v>6.7199999999999996E-2</c:v>
                </c:pt>
                <c:pt idx="3">
                  <c:v>3.8999999999999998E-3</c:v>
                </c:pt>
                <c:pt idx="4">
                  <c:v>1.7000000000000001E-2</c:v>
                </c:pt>
                <c:pt idx="5">
                  <c:v>3.5000000000000001E-3</c:v>
                </c:pt>
                <c:pt idx="6">
                  <c:v>3.6499999999999998E-2</c:v>
                </c:pt>
                <c:pt idx="7">
                  <c:v>1.1999999999999999E-3</c:v>
                </c:pt>
                <c:pt idx="8">
                  <c:v>1E-4</c:v>
                </c:pt>
                <c:pt idx="9">
                  <c:v>-1.7299999999999999E-2</c:v>
                </c:pt>
                <c:pt idx="10">
                  <c:v>3.6799999999999999E-2</c:v>
                </c:pt>
                <c:pt idx="11">
                  <c:v>2.0299999999999999E-2</c:v>
                </c:pt>
                <c:pt idx="12">
                  <c:v>1.7899999999999999E-2</c:v>
                </c:pt>
                <c:pt idx="13">
                  <c:v>3.9300000000000002E-2</c:v>
                </c:pt>
                <c:pt idx="14">
                  <c:v>1.2999999999999999E-3</c:v>
                </c:pt>
                <c:pt idx="15">
                  <c:v>9.9000000000000008E-3</c:v>
                </c:pt>
                <c:pt idx="16">
                  <c:v>1.41E-2</c:v>
                </c:pt>
                <c:pt idx="17">
                  <c:v>6.4000000000000003E-3</c:v>
                </c:pt>
                <c:pt idx="18">
                  <c:v>2.06E-2</c:v>
                </c:pt>
                <c:pt idx="19">
                  <c:v>2.8999999999999998E-3</c:v>
                </c:pt>
                <c:pt idx="20">
                  <c:v>2.01E-2</c:v>
                </c:pt>
                <c:pt idx="21">
                  <c:v>2.3599999999999999E-2</c:v>
                </c:pt>
                <c:pt idx="22">
                  <c:v>3.0599999999999999E-2</c:v>
                </c:pt>
                <c:pt idx="23">
                  <c:v>1.21E-2</c:v>
                </c:pt>
                <c:pt idx="24">
                  <c:v>5.6399999999999999E-2</c:v>
                </c:pt>
                <c:pt idx="25">
                  <c:v>-3.6400000000000002E-2</c:v>
                </c:pt>
                <c:pt idx="26">
                  <c:v>-2.7400000000000001E-2</c:v>
                </c:pt>
                <c:pt idx="27">
                  <c:v>5.1999999999999998E-3</c:v>
                </c:pt>
                <c:pt idx="28">
                  <c:v>2.4299999999999999E-2</c:v>
                </c:pt>
                <c:pt idx="29">
                  <c:v>5.7999999999999996E-3</c:v>
                </c:pt>
                <c:pt idx="30">
                  <c:v>3.6999999999999998E-2</c:v>
                </c:pt>
                <c:pt idx="31">
                  <c:v>3.1899999999999998E-2</c:v>
                </c:pt>
                <c:pt idx="32">
                  <c:v>5.8999999999999999E-3</c:v>
                </c:pt>
                <c:pt idx="33">
                  <c:v>-6.9099999999999995E-2</c:v>
                </c:pt>
                <c:pt idx="34">
                  <c:v>1.8499999999999999E-2</c:v>
                </c:pt>
                <c:pt idx="35">
                  <c:v>-8.7900000000000006E-2</c:v>
                </c:pt>
                <c:pt idx="36">
                  <c:v>8.0100000000000005E-2</c:v>
                </c:pt>
                <c:pt idx="37">
                  <c:v>3.2399999999999998E-2</c:v>
                </c:pt>
                <c:pt idx="38">
                  <c:v>1.8100000000000002E-2</c:v>
                </c:pt>
                <c:pt idx="39">
                  <c:v>4.0899999999999999E-2</c:v>
                </c:pt>
                <c:pt idx="40">
                  <c:v>-6.3799999999999996E-2</c:v>
                </c:pt>
                <c:pt idx="41">
                  <c:v>6.9599999999999995E-2</c:v>
                </c:pt>
                <c:pt idx="42">
                  <c:v>1.5100000000000001E-2</c:v>
                </c:pt>
                <c:pt idx="43">
                  <c:v>-1.67E-2</c:v>
                </c:pt>
                <c:pt idx="44">
                  <c:v>1.95E-2</c:v>
                </c:pt>
                <c:pt idx="45">
                  <c:v>2.2100000000000002E-2</c:v>
                </c:pt>
                <c:pt idx="46">
                  <c:v>3.6200000000000003E-2</c:v>
                </c:pt>
                <c:pt idx="47">
                  <c:v>2.9000000000000001E-2</c:v>
                </c:pt>
                <c:pt idx="48">
                  <c:v>-4.0000000000000002E-4</c:v>
                </c:pt>
                <c:pt idx="49">
                  <c:v>-7.9200000000000007E-2</c:v>
                </c:pt>
                <c:pt idx="50">
                  <c:v>-0.1246</c:v>
                </c:pt>
                <c:pt idx="51">
                  <c:v>0.127</c:v>
                </c:pt>
                <c:pt idx="52">
                  <c:v>4.7600000000000003E-2</c:v>
                </c:pt>
                <c:pt idx="53">
                  <c:v>1.78E-2</c:v>
                </c:pt>
                <c:pt idx="54">
                  <c:v>5.8900000000000001E-2</c:v>
                </c:pt>
                <c:pt idx="55">
                  <c:v>6.9800000000000001E-2</c:v>
                </c:pt>
                <c:pt idx="56">
                  <c:v>-3.7400000000000003E-2</c:v>
                </c:pt>
                <c:pt idx="57">
                  <c:v>-2.4899999999999999E-2</c:v>
                </c:pt>
                <c:pt idx="58">
                  <c:v>0.10879999999999999</c:v>
                </c:pt>
                <c:pt idx="59">
                  <c:v>3.7100000000000001E-2</c:v>
                </c:pt>
                <c:pt idx="60">
                  <c:v>-1.0200000000000001E-2</c:v>
                </c:pt>
                <c:pt idx="61">
                  <c:v>2.7799999999999998E-2</c:v>
                </c:pt>
                <c:pt idx="62">
                  <c:v>4.5400000000000003E-2</c:v>
                </c:pt>
                <c:pt idx="63">
                  <c:v>5.2900000000000003E-2</c:v>
                </c:pt>
                <c:pt idx="64">
                  <c:v>6.6E-3</c:v>
                </c:pt>
                <c:pt idx="65">
                  <c:v>2.2499999999999999E-2</c:v>
                </c:pt>
                <c:pt idx="66">
                  <c:v>2.4399999999999998E-2</c:v>
                </c:pt>
                <c:pt idx="67">
                  <c:v>2.98E-2</c:v>
                </c:pt>
                <c:pt idx="68">
                  <c:v>-4.6600000000000003E-2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2C0-4BC7-A6A5-0F28ACC361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7815807"/>
        <c:axId val="1010552138"/>
      </c:barChart>
      <c:dateAx>
        <c:axId val="34781580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mmm\-d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010552138"/>
        <c:crosses val="autoZero"/>
        <c:auto val="1"/>
        <c:lblOffset val="100"/>
        <c:baseTimeUnit val="days"/>
      </c:dateAx>
      <c:valAx>
        <c:axId val="101055213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347815807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Rotation Monthly Returns'!$L$22</c:f>
              <c:strCache>
                <c:ptCount val="1"/>
                <c:pt idx="0">
                  <c:v>YTD 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Returns'!$K$23:$K$25</c:f>
              <c:strCache>
                <c:ptCount val="2"/>
                <c:pt idx="0">
                  <c:v>Quant Rotation</c:v>
                </c:pt>
                <c:pt idx="1">
                  <c:v>SPY</c:v>
                </c:pt>
              </c:strCache>
            </c:strRef>
          </c:cat>
          <c:val>
            <c:numRef>
              <c:f>'Quant Rotation Monthly Returns'!$L$23:$L$25</c:f>
              <c:numCache>
                <c:formatCode>0.00%</c:formatCode>
                <c:ptCount val="3"/>
                <c:pt idx="0">
                  <c:v>0.21419292459133724</c:v>
                </c:pt>
                <c:pt idx="1">
                  <c:v>0.159160388866768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6C9F-4A1D-A691-3308CABF3969}"/>
            </c:ext>
          </c:extLst>
        </c:ser>
        <c:ser>
          <c:idx val="1"/>
          <c:order val="1"/>
          <c:tx>
            <c:strRef>
              <c:f>'Quant Rotation Monthly Returns'!$M$22</c:f>
              <c:strCache>
                <c:ptCount val="1"/>
                <c:pt idx="0">
                  <c:v>1yr Return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Returns'!$K$23:$K$25</c:f>
              <c:strCache>
                <c:ptCount val="2"/>
                <c:pt idx="0">
                  <c:v>Quant Rotation</c:v>
                </c:pt>
                <c:pt idx="1">
                  <c:v>SPY</c:v>
                </c:pt>
              </c:strCache>
            </c:strRef>
          </c:cat>
          <c:val>
            <c:numRef>
              <c:f>'Quant Rotation Monthly Returns'!$M$23:$M$25</c:f>
              <c:numCache>
                <c:formatCode>0.00%</c:formatCode>
                <c:ptCount val="3"/>
                <c:pt idx="0">
                  <c:v>0.33328079601582156</c:v>
                </c:pt>
                <c:pt idx="1">
                  <c:v>0.25115869150003872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6C9F-4A1D-A691-3308CABF3969}"/>
            </c:ext>
          </c:extLst>
        </c:ser>
        <c:ser>
          <c:idx val="2"/>
          <c:order val="2"/>
          <c:tx>
            <c:strRef>
              <c:f>'Quant Rotation Monthly Returns'!$N$22</c:f>
              <c:strCache>
                <c:ptCount val="1"/>
                <c:pt idx="0">
                  <c:v>3yr Return</c:v>
                </c:pt>
              </c:strCache>
            </c:strRef>
          </c:tx>
          <c:spPr>
            <a:solidFill>
              <a:srgbClr val="FBBC0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Returns'!$K$23:$K$25</c:f>
              <c:strCache>
                <c:ptCount val="2"/>
                <c:pt idx="0">
                  <c:v>Quant Rotation</c:v>
                </c:pt>
                <c:pt idx="1">
                  <c:v>SPY</c:v>
                </c:pt>
              </c:strCache>
            </c:strRef>
          </c:cat>
          <c:val>
            <c:numRef>
              <c:f>'Quant Rotation Monthly Returns'!$N$23:$N$25</c:f>
              <c:numCache>
                <c:formatCode>0.00%</c:formatCode>
                <c:ptCount val="3"/>
                <c:pt idx="0">
                  <c:v>1.3236841992242365</c:v>
                </c:pt>
                <c:pt idx="1">
                  <c:v>0.56656026359576006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6C9F-4A1D-A691-3308CABF3969}"/>
            </c:ext>
          </c:extLst>
        </c:ser>
        <c:ser>
          <c:idx val="3"/>
          <c:order val="3"/>
          <c:tx>
            <c:strRef>
              <c:f>'Quant Rotation Monthly Returns'!$O$22</c:f>
              <c:strCache>
                <c:ptCount val="1"/>
                <c:pt idx="0">
                  <c:v>5yr Return</c:v>
                </c:pt>
              </c:strCache>
            </c:strRef>
          </c:tx>
          <c:spPr>
            <a:solidFill>
              <a:srgbClr val="34A853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Returns'!$K$23:$K$25</c:f>
              <c:strCache>
                <c:ptCount val="2"/>
                <c:pt idx="0">
                  <c:v>Quant Rotation</c:v>
                </c:pt>
                <c:pt idx="1">
                  <c:v>SPY</c:v>
                </c:pt>
              </c:strCache>
            </c:strRef>
          </c:cat>
          <c:val>
            <c:numRef>
              <c:f>'Quant Rotation Monthly Returns'!$O$23:$O$25</c:f>
              <c:numCache>
                <c:formatCode>0.00%</c:formatCode>
                <c:ptCount val="3"/>
                <c:pt idx="0">
                  <c:v>2.8495425187854848</c:v>
                </c:pt>
                <c:pt idx="1">
                  <c:v>1.1749100022986758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6C9F-4A1D-A691-3308CABF39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81486410"/>
        <c:axId val="251985001"/>
      </c:barChart>
      <c:catAx>
        <c:axId val="7814864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51985001"/>
        <c:crosses val="autoZero"/>
        <c:auto val="1"/>
        <c:lblAlgn val="ctr"/>
        <c:lblOffset val="100"/>
        <c:noMultiLvlLbl val="1"/>
      </c:catAx>
      <c:valAx>
        <c:axId val="25198500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cross"/>
        <c:minorTickMark val="cross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781486410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Rotation Monthly Returns'!$K$23</c:f>
              <c:strCache>
                <c:ptCount val="1"/>
                <c:pt idx="0">
                  <c:v>Quant Rotation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Returns'!$L$22:$O$22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Rotation Monthly Returns'!$L$23:$O$23</c:f>
              <c:numCache>
                <c:formatCode>0.00%</c:formatCode>
                <c:ptCount val="4"/>
                <c:pt idx="0">
                  <c:v>0.21419292459133724</c:v>
                </c:pt>
                <c:pt idx="1">
                  <c:v>0.33328079601582156</c:v>
                </c:pt>
                <c:pt idx="2">
                  <c:v>1.3236841992242365</c:v>
                </c:pt>
                <c:pt idx="3">
                  <c:v>2.8495425187854848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DD8B-4C40-A6B2-C10CC0848154}"/>
            </c:ext>
          </c:extLst>
        </c:ser>
        <c:ser>
          <c:idx val="1"/>
          <c:order val="1"/>
          <c:tx>
            <c:strRef>
              <c:f>'Quant Rotation Monthly Returns'!$K$24</c:f>
              <c:strCache>
                <c:ptCount val="1"/>
                <c:pt idx="0">
                  <c:v>SPY</c:v>
                </c:pt>
              </c:strCache>
            </c:strRef>
          </c:tx>
          <c:spPr>
            <a:solidFill>
              <a:srgbClr val="CCCCCC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Returns'!$L$22:$O$22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Rotation Monthly Returns'!$L$24:$O$24</c:f>
              <c:numCache>
                <c:formatCode>0.00%</c:formatCode>
                <c:ptCount val="4"/>
                <c:pt idx="0">
                  <c:v>0.159160388866768</c:v>
                </c:pt>
                <c:pt idx="1">
                  <c:v>0.25115869150003872</c:v>
                </c:pt>
                <c:pt idx="2">
                  <c:v>0.56656026359576006</c:v>
                </c:pt>
                <c:pt idx="3">
                  <c:v>1.1749100022986758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DD8B-4C40-A6B2-C10CC08481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19213478"/>
        <c:axId val="881115328"/>
      </c:barChart>
      <c:catAx>
        <c:axId val="81921347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881115328"/>
        <c:crosses val="autoZero"/>
        <c:auto val="1"/>
        <c:lblAlgn val="ctr"/>
        <c:lblOffset val="100"/>
        <c:noMultiLvlLbl val="1"/>
      </c:catAx>
      <c:valAx>
        <c:axId val="88111532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819213478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Rotation Yearly Returns'!$B$1</c:f>
              <c:strCache>
                <c:ptCount val="1"/>
                <c:pt idx="0">
                  <c:v>Total 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Rotation Yearly Returns'!$A$2:$A$12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'Quant Rotation Yearly Returns'!$B$2:$B$12</c:f>
              <c:numCache>
                <c:formatCode>0.00%</c:formatCode>
                <c:ptCount val="11"/>
                <c:pt idx="0">
                  <c:v>0.183</c:v>
                </c:pt>
                <c:pt idx="1">
                  <c:v>0.2</c:v>
                </c:pt>
                <c:pt idx="2">
                  <c:v>0.43</c:v>
                </c:pt>
                <c:pt idx="3">
                  <c:v>0.128</c:v>
                </c:pt>
                <c:pt idx="4">
                  <c:v>0.14000000000000001</c:v>
                </c:pt>
                <c:pt idx="5">
                  <c:v>3.6000000000000004E-2</c:v>
                </c:pt>
                <c:pt idx="6">
                  <c:v>0.29399999999999998</c:v>
                </c:pt>
                <c:pt idx="7">
                  <c:v>9.1999999999999998E-2</c:v>
                </c:pt>
                <c:pt idx="8">
                  <c:v>0.29499999999999998</c:v>
                </c:pt>
                <c:pt idx="9">
                  <c:v>0.65900000000000003</c:v>
                </c:pt>
                <c:pt idx="10">
                  <c:v>0.192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DEB-4C2C-9D01-B78D3230D51D}"/>
            </c:ext>
          </c:extLst>
        </c:ser>
        <c:ser>
          <c:idx val="1"/>
          <c:order val="1"/>
          <c:tx>
            <c:strRef>
              <c:f>'Quant Rotation Yearly Returns'!$C$1</c:f>
              <c:strCache>
                <c:ptCount val="1"/>
                <c:pt idx="0">
                  <c:v>SPY Total Return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Rotation Yearly Returns'!$A$2:$A$12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'Quant Rotation Yearly Returns'!$C$2:$C$12</c:f>
              <c:numCache>
                <c:formatCode>0.00%</c:formatCode>
                <c:ptCount val="11"/>
                <c:pt idx="0">
                  <c:v>1.9E-2</c:v>
                </c:pt>
                <c:pt idx="1">
                  <c:v>0.16</c:v>
                </c:pt>
                <c:pt idx="2">
                  <c:v>0.32299999999999995</c:v>
                </c:pt>
                <c:pt idx="3">
                  <c:v>0.13500000000000001</c:v>
                </c:pt>
                <c:pt idx="4">
                  <c:v>1.3000000000000001E-2</c:v>
                </c:pt>
                <c:pt idx="5">
                  <c:v>0.12</c:v>
                </c:pt>
                <c:pt idx="6">
                  <c:v>0.217</c:v>
                </c:pt>
                <c:pt idx="7">
                  <c:v>-4.5999999999999999E-2</c:v>
                </c:pt>
                <c:pt idx="8">
                  <c:v>0.312</c:v>
                </c:pt>
                <c:pt idx="9">
                  <c:v>0.184</c:v>
                </c:pt>
                <c:pt idx="10">
                  <c:v>0.124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BDEB-4C2C-9D01-B78D3230D5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8608141"/>
        <c:axId val="296298259"/>
      </c:barChart>
      <c:catAx>
        <c:axId val="90860814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96298259"/>
        <c:crosses val="autoZero"/>
        <c:auto val="1"/>
        <c:lblAlgn val="ctr"/>
        <c:lblOffset val="100"/>
        <c:noMultiLvlLbl val="1"/>
      </c:catAx>
      <c:valAx>
        <c:axId val="29629825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908608141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Conservative ETF Rotation Total Return (Rolling)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Stats'!$K$22</c:f>
              <c:strCache>
                <c:ptCount val="1"/>
                <c:pt idx="0">
                  <c:v>Quant 60/40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2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0-260B-473C-874C-48CDF3D76AE7}"/>
              </c:ext>
            </c:extLst>
          </c:dPt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1-260B-473C-874C-48CDF3D76AE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Stats'!$L$22:$O$22</c:f>
              <c:numCache>
                <c:formatCode>0.00%</c:formatCode>
                <c:ptCount val="4"/>
                <c:pt idx="0">
                  <c:v>0.21564176148274589</c:v>
                </c:pt>
                <c:pt idx="1">
                  <c:v>0.28904707360811999</c:v>
                </c:pt>
                <c:pt idx="2">
                  <c:v>0.93375905027554318</c:v>
                </c:pt>
                <c:pt idx="3">
                  <c:v>1.346236389847373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260B-473C-874C-48CDF3D76AE7}"/>
            </c:ext>
          </c:extLst>
        </c:ser>
        <c:ser>
          <c:idx val="1"/>
          <c:order val="1"/>
          <c:tx>
            <c:strRef>
              <c:f>'Quant 6040 Stats'!$K$23</c:f>
              <c:strCache>
                <c:ptCount val="1"/>
                <c:pt idx="0">
                  <c:v>All World 60/40 (Benchmark)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4-260B-473C-874C-48CDF3D76AE7}"/>
              </c:ext>
            </c:extLst>
          </c:dPt>
          <c:dPt>
            <c:idx val="1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6-260B-473C-874C-48CDF3D76AE7}"/>
              </c:ext>
            </c:extLst>
          </c:dPt>
          <c:dPt>
            <c:idx val="2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8-260B-473C-874C-48CDF3D76AE7}"/>
              </c:ext>
            </c:extLst>
          </c:dPt>
          <c:dPt>
            <c:idx val="3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A-260B-473C-874C-48CDF3D76AE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Stats'!$L$23:$O$23</c:f>
              <c:numCache>
                <c:formatCode>0.00%</c:formatCode>
                <c:ptCount val="4"/>
                <c:pt idx="0">
                  <c:v>4.4900508367269151E-2</c:v>
                </c:pt>
                <c:pt idx="1">
                  <c:v>7.4281020861540037E-2</c:v>
                </c:pt>
                <c:pt idx="2">
                  <c:v>0.33049972264295369</c:v>
                </c:pt>
                <c:pt idx="3">
                  <c:v>0.5430372748862442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B-260B-473C-874C-48CDF3D76A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6434390"/>
        <c:axId val="742978660"/>
      </c:barChart>
      <c:catAx>
        <c:axId val="214643439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742978660"/>
        <c:crosses val="autoZero"/>
        <c:auto val="1"/>
        <c:lblAlgn val="ctr"/>
        <c:lblOffset val="100"/>
        <c:noMultiLvlLbl val="1"/>
      </c:catAx>
      <c:valAx>
        <c:axId val="74297866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6434390"/>
        <c:crosses val="autoZero"/>
        <c:crossBetween val="between"/>
      </c:valAx>
    </c:plotArea>
    <c:legend>
      <c:legendPos val="r"/>
      <c:legendEntry>
        <c:idx val="1"/>
        <c:txPr>
          <a:bodyPr/>
          <a:lstStyle/>
          <a:p>
            <a:pPr lvl="0">
              <a:defRPr>
                <a:solidFill>
                  <a:srgbClr val="000000"/>
                </a:solidFill>
              </a:defRPr>
            </a:pPr>
            <a:endParaRPr lang="en-US"/>
          </a:p>
        </c:txPr>
      </c:legendEntry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Monthly Returns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Returns'!$D$1</c:f>
              <c:strCache>
                <c:ptCount val="1"/>
                <c:pt idx="0">
                  <c:v>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Returns'!$A$2:$A$67</c:f>
              <c:numCache>
                <c:formatCode>mmm\-d</c:formatCode>
                <c:ptCount val="66"/>
                <c:pt idx="0">
                  <c:v>42398</c:v>
                </c:pt>
                <c:pt idx="1">
                  <c:v>42429</c:v>
                </c:pt>
                <c:pt idx="2">
                  <c:v>42460</c:v>
                </c:pt>
                <c:pt idx="3">
                  <c:v>42489</c:v>
                </c:pt>
                <c:pt idx="4" formatCode="mmmm\-d">
                  <c:v>42521</c:v>
                </c:pt>
                <c:pt idx="5">
                  <c:v>42551</c:v>
                </c:pt>
                <c:pt idx="6">
                  <c:v>42580</c:v>
                </c:pt>
                <c:pt idx="7">
                  <c:v>42613</c:v>
                </c:pt>
                <c:pt idx="8">
                  <c:v>42643</c:v>
                </c:pt>
                <c:pt idx="9">
                  <c:v>42674</c:v>
                </c:pt>
                <c:pt idx="10">
                  <c:v>42704</c:v>
                </c:pt>
                <c:pt idx="11">
                  <c:v>42734</c:v>
                </c:pt>
                <c:pt idx="12">
                  <c:v>42766</c:v>
                </c:pt>
                <c:pt idx="13">
                  <c:v>42794</c:v>
                </c:pt>
                <c:pt idx="14">
                  <c:v>42825</c:v>
                </c:pt>
                <c:pt idx="15">
                  <c:v>42853</c:v>
                </c:pt>
                <c:pt idx="16" formatCode="mmmm\-d">
                  <c:v>42886</c:v>
                </c:pt>
                <c:pt idx="17">
                  <c:v>42916</c:v>
                </c:pt>
                <c:pt idx="18">
                  <c:v>42947</c:v>
                </c:pt>
                <c:pt idx="19">
                  <c:v>42978</c:v>
                </c:pt>
                <c:pt idx="20">
                  <c:v>43007</c:v>
                </c:pt>
                <c:pt idx="21">
                  <c:v>43039</c:v>
                </c:pt>
                <c:pt idx="22">
                  <c:v>43069</c:v>
                </c:pt>
                <c:pt idx="23">
                  <c:v>43098</c:v>
                </c:pt>
                <c:pt idx="24">
                  <c:v>43131</c:v>
                </c:pt>
                <c:pt idx="25">
                  <c:v>43159</c:v>
                </c:pt>
                <c:pt idx="26">
                  <c:v>43188</c:v>
                </c:pt>
                <c:pt idx="27">
                  <c:v>43220</c:v>
                </c:pt>
                <c:pt idx="28" formatCode="mmmm\-d">
                  <c:v>43251</c:v>
                </c:pt>
                <c:pt idx="29">
                  <c:v>43280</c:v>
                </c:pt>
                <c:pt idx="30">
                  <c:v>43312</c:v>
                </c:pt>
                <c:pt idx="31">
                  <c:v>43343</c:v>
                </c:pt>
                <c:pt idx="32">
                  <c:v>43371</c:v>
                </c:pt>
                <c:pt idx="33">
                  <c:v>43404</c:v>
                </c:pt>
                <c:pt idx="34">
                  <c:v>43434</c:v>
                </c:pt>
                <c:pt idx="35">
                  <c:v>43465</c:v>
                </c:pt>
                <c:pt idx="36">
                  <c:v>43496</c:v>
                </c:pt>
                <c:pt idx="37">
                  <c:v>43524</c:v>
                </c:pt>
                <c:pt idx="38">
                  <c:v>43553</c:v>
                </c:pt>
                <c:pt idx="39">
                  <c:v>43585</c:v>
                </c:pt>
                <c:pt idx="40" formatCode="mmmm\-d">
                  <c:v>43616</c:v>
                </c:pt>
                <c:pt idx="41">
                  <c:v>43644</c:v>
                </c:pt>
                <c:pt idx="42">
                  <c:v>43677</c:v>
                </c:pt>
                <c:pt idx="43">
                  <c:v>43707</c:v>
                </c:pt>
                <c:pt idx="44">
                  <c:v>43738</c:v>
                </c:pt>
                <c:pt idx="45">
                  <c:v>43769</c:v>
                </c:pt>
                <c:pt idx="46">
                  <c:v>43798</c:v>
                </c:pt>
                <c:pt idx="47">
                  <c:v>43830</c:v>
                </c:pt>
                <c:pt idx="48">
                  <c:v>43861</c:v>
                </c:pt>
                <c:pt idx="49">
                  <c:v>43889</c:v>
                </c:pt>
                <c:pt idx="50">
                  <c:v>43921</c:v>
                </c:pt>
                <c:pt idx="51">
                  <c:v>43951</c:v>
                </c:pt>
                <c:pt idx="52" formatCode="mmmm\-d">
                  <c:v>43980</c:v>
                </c:pt>
                <c:pt idx="53">
                  <c:v>44012</c:v>
                </c:pt>
                <c:pt idx="54">
                  <c:v>44043</c:v>
                </c:pt>
                <c:pt idx="55">
                  <c:v>44074</c:v>
                </c:pt>
                <c:pt idx="56">
                  <c:v>44104</c:v>
                </c:pt>
                <c:pt idx="57">
                  <c:v>44134</c:v>
                </c:pt>
                <c:pt idx="58">
                  <c:v>44165</c:v>
                </c:pt>
                <c:pt idx="59">
                  <c:v>44196</c:v>
                </c:pt>
                <c:pt idx="60">
                  <c:v>44225</c:v>
                </c:pt>
                <c:pt idx="61">
                  <c:v>44253</c:v>
                </c:pt>
                <c:pt idx="62">
                  <c:v>44286</c:v>
                </c:pt>
                <c:pt idx="63">
                  <c:v>44316</c:v>
                </c:pt>
                <c:pt idx="64" formatCode="mmmm\-d">
                  <c:v>44344</c:v>
                </c:pt>
                <c:pt idx="65">
                  <c:v>44351</c:v>
                </c:pt>
              </c:numCache>
            </c:numRef>
          </c:cat>
          <c:val>
            <c:numRef>
              <c:f>'Quant 6040 Returns'!$D$2:$D$67</c:f>
              <c:numCache>
                <c:formatCode>0.00%</c:formatCode>
                <c:ptCount val="66"/>
                <c:pt idx="0">
                  <c:v>-1.917E-2</c:v>
                </c:pt>
                <c:pt idx="1">
                  <c:v>1.3018999999999999E-2</c:v>
                </c:pt>
                <c:pt idx="2">
                  <c:v>4.6700000000000002E-4</c:v>
                </c:pt>
                <c:pt idx="3">
                  <c:v>4.2009999999999999E-3</c:v>
                </c:pt>
                <c:pt idx="4">
                  <c:v>1.4737E-2</c:v>
                </c:pt>
                <c:pt idx="5">
                  <c:v>7.28E-3</c:v>
                </c:pt>
                <c:pt idx="6">
                  <c:v>4.3622000000000001E-2</c:v>
                </c:pt>
                <c:pt idx="7">
                  <c:v>2.2550000000000001E-3</c:v>
                </c:pt>
                <c:pt idx="8">
                  <c:v>4.2700000000000002E-4</c:v>
                </c:pt>
                <c:pt idx="9">
                  <c:v>-1.174E-2</c:v>
                </c:pt>
                <c:pt idx="10">
                  <c:v>3.127E-3</c:v>
                </c:pt>
                <c:pt idx="11">
                  <c:v>2.5020000000000001E-2</c:v>
                </c:pt>
                <c:pt idx="12">
                  <c:v>6.7390000000000002E-3</c:v>
                </c:pt>
                <c:pt idx="13">
                  <c:v>1.6858000000000001E-2</c:v>
                </c:pt>
                <c:pt idx="14">
                  <c:v>1.0926E-2</c:v>
                </c:pt>
                <c:pt idx="15">
                  <c:v>2.0514999999999999E-2</c:v>
                </c:pt>
                <c:pt idx="16">
                  <c:v>3.0942000000000001E-2</c:v>
                </c:pt>
                <c:pt idx="17">
                  <c:v>-1.073E-2</c:v>
                </c:pt>
                <c:pt idx="18">
                  <c:v>2.1735999999999998E-2</c:v>
                </c:pt>
                <c:pt idx="19">
                  <c:v>2.6068999999999998E-2</c:v>
                </c:pt>
                <c:pt idx="20">
                  <c:v>-1.1039999999999999E-2</c:v>
                </c:pt>
                <c:pt idx="21">
                  <c:v>2.8462999999999999E-2</c:v>
                </c:pt>
                <c:pt idx="22">
                  <c:v>1.6244000000000001E-2</c:v>
                </c:pt>
                <c:pt idx="23">
                  <c:v>-1.1999999999999999E-3</c:v>
                </c:pt>
                <c:pt idx="24">
                  <c:v>3.952E-2</c:v>
                </c:pt>
                <c:pt idx="25">
                  <c:v>-1.136E-2</c:v>
                </c:pt>
                <c:pt idx="26">
                  <c:v>-2.6630000000000001E-2</c:v>
                </c:pt>
                <c:pt idx="27">
                  <c:v>4.9430000000000003E-3</c:v>
                </c:pt>
                <c:pt idx="28">
                  <c:v>1.1360000000000001E-3</c:v>
                </c:pt>
                <c:pt idx="29">
                  <c:v>6.2729999999999999E-3</c:v>
                </c:pt>
                <c:pt idx="30">
                  <c:v>2.3865999999999998E-2</c:v>
                </c:pt>
                <c:pt idx="31">
                  <c:v>3.7157000000000003E-2</c:v>
                </c:pt>
                <c:pt idx="32">
                  <c:v>7.6999999999999996E-4</c:v>
                </c:pt>
                <c:pt idx="33">
                  <c:v>-5.9549999999999999E-2</c:v>
                </c:pt>
                <c:pt idx="34">
                  <c:v>-7.1000000000000002E-4</c:v>
                </c:pt>
                <c:pt idx="35">
                  <c:v>-4.7400000000000003E-3</c:v>
                </c:pt>
                <c:pt idx="36">
                  <c:v>3.0209999999999998E-3</c:v>
                </c:pt>
                <c:pt idx="37">
                  <c:v>1.2446E-2</c:v>
                </c:pt>
                <c:pt idx="38">
                  <c:v>4.5918E-2</c:v>
                </c:pt>
                <c:pt idx="39">
                  <c:v>3.8231000000000001E-2</c:v>
                </c:pt>
                <c:pt idx="40">
                  <c:v>-5.7279999999999998E-2</c:v>
                </c:pt>
                <c:pt idx="41">
                  <c:v>6.5550000000000001E-3</c:v>
                </c:pt>
                <c:pt idx="42">
                  <c:v>1.01E-2</c:v>
                </c:pt>
                <c:pt idx="43">
                  <c:v>3.4132999999999997E-2</c:v>
                </c:pt>
                <c:pt idx="44">
                  <c:v>-5.2100000000000002E-3</c:v>
                </c:pt>
                <c:pt idx="45">
                  <c:v>8.8079999999999999E-3</c:v>
                </c:pt>
                <c:pt idx="46">
                  <c:v>2.2789E-2</c:v>
                </c:pt>
                <c:pt idx="47">
                  <c:v>3.1343000000000003E-2</c:v>
                </c:pt>
                <c:pt idx="48">
                  <c:v>1.6404999999999999E-2</c:v>
                </c:pt>
                <c:pt idx="49">
                  <c:v>-9.8399999999999998E-3</c:v>
                </c:pt>
                <c:pt idx="50">
                  <c:v>3.2976999999999999E-2</c:v>
                </c:pt>
                <c:pt idx="51">
                  <c:v>6.5030000000000001E-3</c:v>
                </c:pt>
                <c:pt idx="52">
                  <c:v>-7.5199999999999998E-3</c:v>
                </c:pt>
                <c:pt idx="53">
                  <c:v>3.9058000000000002E-2</c:v>
                </c:pt>
                <c:pt idx="54">
                  <c:v>6.5683000000000005E-2</c:v>
                </c:pt>
                <c:pt idx="55">
                  <c:v>6.6103999999999996E-2</c:v>
                </c:pt>
                <c:pt idx="56">
                  <c:v>-3.7850000000000002E-2</c:v>
                </c:pt>
                <c:pt idx="57">
                  <c:v>-1.6410000000000001E-2</c:v>
                </c:pt>
                <c:pt idx="58">
                  <c:v>0.123616</c:v>
                </c:pt>
                <c:pt idx="59">
                  <c:v>6.0384E-2</c:v>
                </c:pt>
                <c:pt idx="60">
                  <c:v>2.7089999999999999E-2</c:v>
                </c:pt>
                <c:pt idx="61">
                  <c:v>3.7817000000000003E-2</c:v>
                </c:pt>
                <c:pt idx="62">
                  <c:v>1.2197E-2</c:v>
                </c:pt>
                <c:pt idx="63">
                  <c:v>2.8806999999999999E-2</c:v>
                </c:pt>
                <c:pt idx="64">
                  <c:v>1.7240000000000001E-3</c:v>
                </c:pt>
                <c:pt idx="65">
                  <c:v>5.3680000000000004E-3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A247-4A3E-B608-5FC813A7E496}"/>
            </c:ext>
          </c:extLst>
        </c:ser>
        <c:ser>
          <c:idx val="1"/>
          <c:order val="1"/>
          <c:tx>
            <c:strRef>
              <c:f>'Quant 6040 Returns'!$B$1</c:f>
              <c:strCache>
                <c:ptCount val="1"/>
                <c:pt idx="0">
                  <c:v>Portfolio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Returns'!$A$2:$A$67</c:f>
              <c:numCache>
                <c:formatCode>mmm\-d</c:formatCode>
                <c:ptCount val="66"/>
                <c:pt idx="0">
                  <c:v>42398</c:v>
                </c:pt>
                <c:pt idx="1">
                  <c:v>42429</c:v>
                </c:pt>
                <c:pt idx="2">
                  <c:v>42460</c:v>
                </c:pt>
                <c:pt idx="3">
                  <c:v>42489</c:v>
                </c:pt>
                <c:pt idx="4" formatCode="mmmm\-d">
                  <c:v>42521</c:v>
                </c:pt>
                <c:pt idx="5">
                  <c:v>42551</c:v>
                </c:pt>
                <c:pt idx="6">
                  <c:v>42580</c:v>
                </c:pt>
                <c:pt idx="7">
                  <c:v>42613</c:v>
                </c:pt>
                <c:pt idx="8">
                  <c:v>42643</c:v>
                </c:pt>
                <c:pt idx="9">
                  <c:v>42674</c:v>
                </c:pt>
                <c:pt idx="10">
                  <c:v>42704</c:v>
                </c:pt>
                <c:pt idx="11">
                  <c:v>42734</c:v>
                </c:pt>
                <c:pt idx="12">
                  <c:v>42766</c:v>
                </c:pt>
                <c:pt idx="13">
                  <c:v>42794</c:v>
                </c:pt>
                <c:pt idx="14">
                  <c:v>42825</c:v>
                </c:pt>
                <c:pt idx="15">
                  <c:v>42853</c:v>
                </c:pt>
                <c:pt idx="16" formatCode="mmmm\-d">
                  <c:v>42886</c:v>
                </c:pt>
                <c:pt idx="17">
                  <c:v>42916</c:v>
                </c:pt>
                <c:pt idx="18">
                  <c:v>42947</c:v>
                </c:pt>
                <c:pt idx="19">
                  <c:v>42978</c:v>
                </c:pt>
                <c:pt idx="20">
                  <c:v>43007</c:v>
                </c:pt>
                <c:pt idx="21">
                  <c:v>43039</c:v>
                </c:pt>
                <c:pt idx="22">
                  <c:v>43069</c:v>
                </c:pt>
                <c:pt idx="23">
                  <c:v>43098</c:v>
                </c:pt>
                <c:pt idx="24">
                  <c:v>43131</c:v>
                </c:pt>
                <c:pt idx="25">
                  <c:v>43159</c:v>
                </c:pt>
                <c:pt idx="26">
                  <c:v>43188</c:v>
                </c:pt>
                <c:pt idx="27">
                  <c:v>43220</c:v>
                </c:pt>
                <c:pt idx="28" formatCode="mmmm\-d">
                  <c:v>43251</c:v>
                </c:pt>
                <c:pt idx="29">
                  <c:v>43280</c:v>
                </c:pt>
                <c:pt idx="30">
                  <c:v>43312</c:v>
                </c:pt>
                <c:pt idx="31">
                  <c:v>43343</c:v>
                </c:pt>
                <c:pt idx="32">
                  <c:v>43371</c:v>
                </c:pt>
                <c:pt idx="33">
                  <c:v>43404</c:v>
                </c:pt>
                <c:pt idx="34">
                  <c:v>43434</c:v>
                </c:pt>
                <c:pt idx="35">
                  <c:v>43465</c:v>
                </c:pt>
                <c:pt idx="36">
                  <c:v>43496</c:v>
                </c:pt>
                <c:pt idx="37">
                  <c:v>43524</c:v>
                </c:pt>
                <c:pt idx="38">
                  <c:v>43553</c:v>
                </c:pt>
                <c:pt idx="39">
                  <c:v>43585</c:v>
                </c:pt>
                <c:pt idx="40" formatCode="mmmm\-d">
                  <c:v>43616</c:v>
                </c:pt>
                <c:pt idx="41">
                  <c:v>43644</c:v>
                </c:pt>
                <c:pt idx="42">
                  <c:v>43677</c:v>
                </c:pt>
                <c:pt idx="43">
                  <c:v>43707</c:v>
                </c:pt>
                <c:pt idx="44">
                  <c:v>43738</c:v>
                </c:pt>
                <c:pt idx="45">
                  <c:v>43769</c:v>
                </c:pt>
                <c:pt idx="46">
                  <c:v>43798</c:v>
                </c:pt>
                <c:pt idx="47">
                  <c:v>43830</c:v>
                </c:pt>
                <c:pt idx="48">
                  <c:v>43861</c:v>
                </c:pt>
                <c:pt idx="49">
                  <c:v>43889</c:v>
                </c:pt>
                <c:pt idx="50">
                  <c:v>43921</c:v>
                </c:pt>
                <c:pt idx="51">
                  <c:v>43951</c:v>
                </c:pt>
                <c:pt idx="52" formatCode="mmmm\-d">
                  <c:v>43980</c:v>
                </c:pt>
                <c:pt idx="53">
                  <c:v>44012</c:v>
                </c:pt>
                <c:pt idx="54">
                  <c:v>44043</c:v>
                </c:pt>
                <c:pt idx="55">
                  <c:v>44074</c:v>
                </c:pt>
                <c:pt idx="56">
                  <c:v>44104</c:v>
                </c:pt>
                <c:pt idx="57">
                  <c:v>44134</c:v>
                </c:pt>
                <c:pt idx="58">
                  <c:v>44165</c:v>
                </c:pt>
                <c:pt idx="59">
                  <c:v>44196</c:v>
                </c:pt>
                <c:pt idx="60">
                  <c:v>44225</c:v>
                </c:pt>
                <c:pt idx="61">
                  <c:v>44253</c:v>
                </c:pt>
                <c:pt idx="62">
                  <c:v>44286</c:v>
                </c:pt>
                <c:pt idx="63">
                  <c:v>44316</c:v>
                </c:pt>
                <c:pt idx="64" formatCode="mmmm\-d">
                  <c:v>44344</c:v>
                </c:pt>
                <c:pt idx="65">
                  <c:v>44351</c:v>
                </c:pt>
              </c:numCache>
            </c:numRef>
          </c:cat>
          <c:val>
            <c:numRef>
              <c:f>'Quant 6040 Returns'!$B$2:$B$67</c:f>
              <c:numCache>
                <c:formatCode>General</c:formatCode>
                <c:ptCount val="6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A247-4A3E-B608-5FC813A7E496}"/>
            </c:ext>
          </c:extLst>
        </c:ser>
        <c:ser>
          <c:idx val="2"/>
          <c:order val="2"/>
          <c:tx>
            <c:strRef>
              <c:f>'Quant 6040 Returns'!$C$1</c:f>
              <c:strCache>
                <c:ptCount val="1"/>
                <c:pt idx="0">
                  <c:v>Starting Weights</c:v>
                </c:pt>
              </c:strCache>
            </c:strRef>
          </c:tx>
          <c:invertIfNegative val="1"/>
          <c:cat>
            <c:numRef>
              <c:f>'Quant 6040 Returns'!$A$2:$A$67</c:f>
              <c:numCache>
                <c:formatCode>mmm\-d</c:formatCode>
                <c:ptCount val="66"/>
                <c:pt idx="0">
                  <c:v>42398</c:v>
                </c:pt>
                <c:pt idx="1">
                  <c:v>42429</c:v>
                </c:pt>
                <c:pt idx="2">
                  <c:v>42460</c:v>
                </c:pt>
                <c:pt idx="3">
                  <c:v>42489</c:v>
                </c:pt>
                <c:pt idx="4" formatCode="mmmm\-d">
                  <c:v>42521</c:v>
                </c:pt>
                <c:pt idx="5">
                  <c:v>42551</c:v>
                </c:pt>
                <c:pt idx="6">
                  <c:v>42580</c:v>
                </c:pt>
                <c:pt idx="7">
                  <c:v>42613</c:v>
                </c:pt>
                <c:pt idx="8">
                  <c:v>42643</c:v>
                </c:pt>
                <c:pt idx="9">
                  <c:v>42674</c:v>
                </c:pt>
                <c:pt idx="10">
                  <c:v>42704</c:v>
                </c:pt>
                <c:pt idx="11">
                  <c:v>42734</c:v>
                </c:pt>
                <c:pt idx="12">
                  <c:v>42766</c:v>
                </c:pt>
                <c:pt idx="13">
                  <c:v>42794</c:v>
                </c:pt>
                <c:pt idx="14">
                  <c:v>42825</c:v>
                </c:pt>
                <c:pt idx="15">
                  <c:v>42853</c:v>
                </c:pt>
                <c:pt idx="16" formatCode="mmmm\-d">
                  <c:v>42886</c:v>
                </c:pt>
                <c:pt idx="17">
                  <c:v>42916</c:v>
                </c:pt>
                <c:pt idx="18">
                  <c:v>42947</c:v>
                </c:pt>
                <c:pt idx="19">
                  <c:v>42978</c:v>
                </c:pt>
                <c:pt idx="20">
                  <c:v>43007</c:v>
                </c:pt>
                <c:pt idx="21">
                  <c:v>43039</c:v>
                </c:pt>
                <c:pt idx="22">
                  <c:v>43069</c:v>
                </c:pt>
                <c:pt idx="23">
                  <c:v>43098</c:v>
                </c:pt>
                <c:pt idx="24">
                  <c:v>43131</c:v>
                </c:pt>
                <c:pt idx="25">
                  <c:v>43159</c:v>
                </c:pt>
                <c:pt idx="26">
                  <c:v>43188</c:v>
                </c:pt>
                <c:pt idx="27">
                  <c:v>43220</c:v>
                </c:pt>
                <c:pt idx="28" formatCode="mmmm\-d">
                  <c:v>43251</c:v>
                </c:pt>
                <c:pt idx="29">
                  <c:v>43280</c:v>
                </c:pt>
                <c:pt idx="30">
                  <c:v>43312</c:v>
                </c:pt>
                <c:pt idx="31">
                  <c:v>43343</c:v>
                </c:pt>
                <c:pt idx="32">
                  <c:v>43371</c:v>
                </c:pt>
                <c:pt idx="33">
                  <c:v>43404</c:v>
                </c:pt>
                <c:pt idx="34">
                  <c:v>43434</c:v>
                </c:pt>
                <c:pt idx="35">
                  <c:v>43465</c:v>
                </c:pt>
                <c:pt idx="36">
                  <c:v>43496</c:v>
                </c:pt>
                <c:pt idx="37">
                  <c:v>43524</c:v>
                </c:pt>
                <c:pt idx="38">
                  <c:v>43553</c:v>
                </c:pt>
                <c:pt idx="39">
                  <c:v>43585</c:v>
                </c:pt>
                <c:pt idx="40" formatCode="mmmm\-d">
                  <c:v>43616</c:v>
                </c:pt>
                <c:pt idx="41">
                  <c:v>43644</c:v>
                </c:pt>
                <c:pt idx="42">
                  <c:v>43677</c:v>
                </c:pt>
                <c:pt idx="43">
                  <c:v>43707</c:v>
                </c:pt>
                <c:pt idx="44">
                  <c:v>43738</c:v>
                </c:pt>
                <c:pt idx="45">
                  <c:v>43769</c:v>
                </c:pt>
                <c:pt idx="46">
                  <c:v>43798</c:v>
                </c:pt>
                <c:pt idx="47">
                  <c:v>43830</c:v>
                </c:pt>
                <c:pt idx="48">
                  <c:v>43861</c:v>
                </c:pt>
                <c:pt idx="49">
                  <c:v>43889</c:v>
                </c:pt>
                <c:pt idx="50">
                  <c:v>43921</c:v>
                </c:pt>
                <c:pt idx="51">
                  <c:v>43951</c:v>
                </c:pt>
                <c:pt idx="52" formatCode="mmmm\-d">
                  <c:v>43980</c:v>
                </c:pt>
                <c:pt idx="53">
                  <c:v>44012</c:v>
                </c:pt>
                <c:pt idx="54">
                  <c:v>44043</c:v>
                </c:pt>
                <c:pt idx="55">
                  <c:v>44074</c:v>
                </c:pt>
                <c:pt idx="56">
                  <c:v>44104</c:v>
                </c:pt>
                <c:pt idx="57">
                  <c:v>44134</c:v>
                </c:pt>
                <c:pt idx="58">
                  <c:v>44165</c:v>
                </c:pt>
                <c:pt idx="59">
                  <c:v>44196</c:v>
                </c:pt>
                <c:pt idx="60">
                  <c:v>44225</c:v>
                </c:pt>
                <c:pt idx="61">
                  <c:v>44253</c:v>
                </c:pt>
                <c:pt idx="62">
                  <c:v>44286</c:v>
                </c:pt>
                <c:pt idx="63">
                  <c:v>44316</c:v>
                </c:pt>
                <c:pt idx="64" formatCode="mmmm\-d">
                  <c:v>44344</c:v>
                </c:pt>
                <c:pt idx="65">
                  <c:v>44351</c:v>
                </c:pt>
              </c:numCache>
            </c:numRef>
          </c:cat>
          <c:val>
            <c:numRef>
              <c:f>'Quant 6040 Returns'!$C$2:$C$67</c:f>
              <c:numCache>
                <c:formatCode>General</c:formatCode>
                <c:ptCount val="6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247-4A3E-B608-5FC813A7E496}"/>
            </c:ext>
          </c:extLst>
        </c:ser>
        <c:ser>
          <c:idx val="3"/>
          <c:order val="3"/>
          <c:tx>
            <c:strRef>
              <c:f>'Quant 6040 Returns'!$E$1</c:f>
              <c:strCache>
                <c:ptCount val="1"/>
                <c:pt idx="0">
                  <c:v>Bench Return</c:v>
                </c:pt>
              </c:strCache>
            </c:strRef>
          </c:tx>
          <c:invertIfNegative val="1"/>
          <c:cat>
            <c:numRef>
              <c:f>'Quant 6040 Returns'!$A$2:$A$67</c:f>
              <c:numCache>
                <c:formatCode>mmm\-d</c:formatCode>
                <c:ptCount val="66"/>
                <c:pt idx="0">
                  <c:v>42398</c:v>
                </c:pt>
                <c:pt idx="1">
                  <c:v>42429</c:v>
                </c:pt>
                <c:pt idx="2">
                  <c:v>42460</c:v>
                </c:pt>
                <c:pt idx="3">
                  <c:v>42489</c:v>
                </c:pt>
                <c:pt idx="4" formatCode="mmmm\-d">
                  <c:v>42521</c:v>
                </c:pt>
                <c:pt idx="5">
                  <c:v>42551</c:v>
                </c:pt>
                <c:pt idx="6">
                  <c:v>42580</c:v>
                </c:pt>
                <c:pt idx="7">
                  <c:v>42613</c:v>
                </c:pt>
                <c:pt idx="8">
                  <c:v>42643</c:v>
                </c:pt>
                <c:pt idx="9">
                  <c:v>42674</c:v>
                </c:pt>
                <c:pt idx="10">
                  <c:v>42704</c:v>
                </c:pt>
                <c:pt idx="11">
                  <c:v>42734</c:v>
                </c:pt>
                <c:pt idx="12">
                  <c:v>42766</c:v>
                </c:pt>
                <c:pt idx="13">
                  <c:v>42794</c:v>
                </c:pt>
                <c:pt idx="14">
                  <c:v>42825</c:v>
                </c:pt>
                <c:pt idx="15">
                  <c:v>42853</c:v>
                </c:pt>
                <c:pt idx="16" formatCode="mmmm\-d">
                  <c:v>42886</c:v>
                </c:pt>
                <c:pt idx="17">
                  <c:v>42916</c:v>
                </c:pt>
                <c:pt idx="18">
                  <c:v>42947</c:v>
                </c:pt>
                <c:pt idx="19">
                  <c:v>42978</c:v>
                </c:pt>
                <c:pt idx="20">
                  <c:v>43007</c:v>
                </c:pt>
                <c:pt idx="21">
                  <c:v>43039</c:v>
                </c:pt>
                <c:pt idx="22">
                  <c:v>43069</c:v>
                </c:pt>
                <c:pt idx="23">
                  <c:v>43098</c:v>
                </c:pt>
                <c:pt idx="24">
                  <c:v>43131</c:v>
                </c:pt>
                <c:pt idx="25">
                  <c:v>43159</c:v>
                </c:pt>
                <c:pt idx="26">
                  <c:v>43188</c:v>
                </c:pt>
                <c:pt idx="27">
                  <c:v>43220</c:v>
                </c:pt>
                <c:pt idx="28" formatCode="mmmm\-d">
                  <c:v>43251</c:v>
                </c:pt>
                <c:pt idx="29">
                  <c:v>43280</c:v>
                </c:pt>
                <c:pt idx="30">
                  <c:v>43312</c:v>
                </c:pt>
                <c:pt idx="31">
                  <c:v>43343</c:v>
                </c:pt>
                <c:pt idx="32">
                  <c:v>43371</c:v>
                </c:pt>
                <c:pt idx="33">
                  <c:v>43404</c:v>
                </c:pt>
                <c:pt idx="34">
                  <c:v>43434</c:v>
                </c:pt>
                <c:pt idx="35">
                  <c:v>43465</c:v>
                </c:pt>
                <c:pt idx="36">
                  <c:v>43496</c:v>
                </c:pt>
                <c:pt idx="37">
                  <c:v>43524</c:v>
                </c:pt>
                <c:pt idx="38">
                  <c:v>43553</c:v>
                </c:pt>
                <c:pt idx="39">
                  <c:v>43585</c:v>
                </c:pt>
                <c:pt idx="40" formatCode="mmmm\-d">
                  <c:v>43616</c:v>
                </c:pt>
                <c:pt idx="41">
                  <c:v>43644</c:v>
                </c:pt>
                <c:pt idx="42">
                  <c:v>43677</c:v>
                </c:pt>
                <c:pt idx="43">
                  <c:v>43707</c:v>
                </c:pt>
                <c:pt idx="44">
                  <c:v>43738</c:v>
                </c:pt>
                <c:pt idx="45">
                  <c:v>43769</c:v>
                </c:pt>
                <c:pt idx="46">
                  <c:v>43798</c:v>
                </c:pt>
                <c:pt idx="47">
                  <c:v>43830</c:v>
                </c:pt>
                <c:pt idx="48">
                  <c:v>43861</c:v>
                </c:pt>
                <c:pt idx="49">
                  <c:v>43889</c:v>
                </c:pt>
                <c:pt idx="50">
                  <c:v>43921</c:v>
                </c:pt>
                <c:pt idx="51">
                  <c:v>43951</c:v>
                </c:pt>
                <c:pt idx="52" formatCode="mmmm\-d">
                  <c:v>43980</c:v>
                </c:pt>
                <c:pt idx="53">
                  <c:v>44012</c:v>
                </c:pt>
                <c:pt idx="54">
                  <c:v>44043</c:v>
                </c:pt>
                <c:pt idx="55">
                  <c:v>44074</c:v>
                </c:pt>
                <c:pt idx="56">
                  <c:v>44104</c:v>
                </c:pt>
                <c:pt idx="57">
                  <c:v>44134</c:v>
                </c:pt>
                <c:pt idx="58">
                  <c:v>44165</c:v>
                </c:pt>
                <c:pt idx="59">
                  <c:v>44196</c:v>
                </c:pt>
                <c:pt idx="60">
                  <c:v>44225</c:v>
                </c:pt>
                <c:pt idx="61">
                  <c:v>44253</c:v>
                </c:pt>
                <c:pt idx="62">
                  <c:v>44286</c:v>
                </c:pt>
                <c:pt idx="63">
                  <c:v>44316</c:v>
                </c:pt>
                <c:pt idx="64" formatCode="mmmm\-d">
                  <c:v>44344</c:v>
                </c:pt>
                <c:pt idx="65">
                  <c:v>44351</c:v>
                </c:pt>
              </c:numCache>
            </c:numRef>
          </c:cat>
          <c:val>
            <c:numRef>
              <c:f>'Quant 6040 Returns'!$E$2:$E$67</c:f>
              <c:numCache>
                <c:formatCode>0.00%</c:formatCode>
                <c:ptCount val="66"/>
                <c:pt idx="0">
                  <c:v>-2.0389999999999998E-2</c:v>
                </c:pt>
                <c:pt idx="1">
                  <c:v>-4.0899999999999999E-3</c:v>
                </c:pt>
                <c:pt idx="2">
                  <c:v>4.0822999999999998E-2</c:v>
                </c:pt>
                <c:pt idx="3">
                  <c:v>8.0169999999999998E-3</c:v>
                </c:pt>
                <c:pt idx="4">
                  <c:v>4.5519999999999996E-3</c:v>
                </c:pt>
                <c:pt idx="5">
                  <c:v>5.927E-3</c:v>
                </c:pt>
                <c:pt idx="6">
                  <c:v>2.4804E-2</c:v>
                </c:pt>
                <c:pt idx="7">
                  <c:v>-1.7899999999999999E-3</c:v>
                </c:pt>
                <c:pt idx="8">
                  <c:v>5.581E-3</c:v>
                </c:pt>
                <c:pt idx="9">
                  <c:v>-1.9199999999999998E-2</c:v>
                </c:pt>
                <c:pt idx="10">
                  <c:v>-8.7799999999999996E-3</c:v>
                </c:pt>
                <c:pt idx="11">
                  <c:v>1.3599999999999999E-2</c:v>
                </c:pt>
                <c:pt idx="12">
                  <c:v>1.6317000000000002E-2</c:v>
                </c:pt>
                <c:pt idx="13">
                  <c:v>1.7555000000000001E-2</c:v>
                </c:pt>
                <c:pt idx="14">
                  <c:v>1.0187E-2</c:v>
                </c:pt>
                <c:pt idx="15">
                  <c:v>1.4893999999999999E-2</c:v>
                </c:pt>
                <c:pt idx="16">
                  <c:v>1.6971E-2</c:v>
                </c:pt>
                <c:pt idx="17">
                  <c:v>1.7290000000000001E-3</c:v>
                </c:pt>
                <c:pt idx="18">
                  <c:v>1.5103E-2</c:v>
                </c:pt>
                <c:pt idx="19">
                  <c:v>6.1440000000000002E-3</c:v>
                </c:pt>
                <c:pt idx="20">
                  <c:v>8.652E-3</c:v>
                </c:pt>
                <c:pt idx="21">
                  <c:v>1.0789999999999999E-2</c:v>
                </c:pt>
                <c:pt idx="22">
                  <c:v>1.0042000000000001E-2</c:v>
                </c:pt>
                <c:pt idx="23">
                  <c:v>8.2719999999999998E-3</c:v>
                </c:pt>
                <c:pt idx="24">
                  <c:v>2.2155000000000001E-2</c:v>
                </c:pt>
                <c:pt idx="25">
                  <c:v>-2.9510000000000002E-2</c:v>
                </c:pt>
                <c:pt idx="26">
                  <c:v>-3.7599999999999999E-3</c:v>
                </c:pt>
                <c:pt idx="27">
                  <c:v>8.0500000000000005E-4</c:v>
                </c:pt>
                <c:pt idx="28">
                  <c:v>6.4279999999999997E-3</c:v>
                </c:pt>
                <c:pt idx="29">
                  <c:v>-1.8E-3</c:v>
                </c:pt>
                <c:pt idx="30">
                  <c:v>1.6399E-2</c:v>
                </c:pt>
                <c:pt idx="31">
                  <c:v>7.6470000000000002E-3</c:v>
                </c:pt>
                <c:pt idx="32">
                  <c:v>-1.34E-3</c:v>
                </c:pt>
                <c:pt idx="33">
                  <c:v>-4.7840000000000001E-2</c:v>
                </c:pt>
                <c:pt idx="34">
                  <c:v>1.285E-2</c:v>
                </c:pt>
                <c:pt idx="35">
                  <c:v>-3.2329999999999998E-2</c:v>
                </c:pt>
                <c:pt idx="36">
                  <c:v>4.8135999999999998E-2</c:v>
                </c:pt>
                <c:pt idx="37">
                  <c:v>1.6188999999999999E-2</c:v>
                </c:pt>
                <c:pt idx="38">
                  <c:v>1.7711999999999999E-2</c:v>
                </c:pt>
                <c:pt idx="39">
                  <c:v>1.8495000000000001E-2</c:v>
                </c:pt>
                <c:pt idx="40">
                  <c:v>-2.2259999999999999E-2</c:v>
                </c:pt>
                <c:pt idx="41">
                  <c:v>4.3827999999999999E-2</c:v>
                </c:pt>
                <c:pt idx="42">
                  <c:v>-1.4499999999999999E-3</c:v>
                </c:pt>
                <c:pt idx="43">
                  <c:v>3.7759999999999998E-3</c:v>
                </c:pt>
                <c:pt idx="44">
                  <c:v>1.0088E-2</c:v>
                </c:pt>
                <c:pt idx="45">
                  <c:v>1.7233999999999999E-2</c:v>
                </c:pt>
                <c:pt idx="46">
                  <c:v>1.1998E-2</c:v>
                </c:pt>
                <c:pt idx="47">
                  <c:v>1.3651999999999999E-2</c:v>
                </c:pt>
                <c:pt idx="48">
                  <c:v>5.2119999999999996E-3</c:v>
                </c:pt>
                <c:pt idx="49">
                  <c:v>-3.5439999999999999E-2</c:v>
                </c:pt>
                <c:pt idx="50">
                  <c:v>-6.9159999999999999E-2</c:v>
                </c:pt>
                <c:pt idx="51">
                  <c:v>5.7951000000000003E-2</c:v>
                </c:pt>
                <c:pt idx="52">
                  <c:v>3.3779000000000003E-2</c:v>
                </c:pt>
                <c:pt idx="53">
                  <c:v>1.7564E-2</c:v>
                </c:pt>
                <c:pt idx="54">
                  <c:v>2.6463E-2</c:v>
                </c:pt>
                <c:pt idx="55">
                  <c:v>3.1600999999999997E-2</c:v>
                </c:pt>
                <c:pt idx="56">
                  <c:v>-1.546E-2</c:v>
                </c:pt>
                <c:pt idx="57">
                  <c:v>-2.2020000000000001E-2</c:v>
                </c:pt>
                <c:pt idx="58">
                  <c:v>7.9570000000000002E-2</c:v>
                </c:pt>
                <c:pt idx="59">
                  <c:v>2.8118000000000001E-2</c:v>
                </c:pt>
                <c:pt idx="60">
                  <c:v>-7.7099999999999998E-3</c:v>
                </c:pt>
                <c:pt idx="61">
                  <c:v>6.6769999999999998E-3</c:v>
                </c:pt>
                <c:pt idx="62">
                  <c:v>8.9320000000000007E-3</c:v>
                </c:pt>
                <c:pt idx="63">
                  <c:v>2.7969999999999998E-2</c:v>
                </c:pt>
                <c:pt idx="64">
                  <c:v>1.3516E-2</c:v>
                </c:pt>
                <c:pt idx="65">
                  <c:v>6.5129999999999997E-3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247-4A3E-B608-5FC813A7E4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43254627"/>
        <c:axId val="145539705"/>
      </c:barChart>
      <c:dateAx>
        <c:axId val="204325462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mmm\-d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45539705"/>
        <c:crosses val="autoZero"/>
        <c:auto val="1"/>
        <c:lblOffset val="100"/>
        <c:baseTimeUnit val="days"/>
      </c:dateAx>
      <c:valAx>
        <c:axId val="14553970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043254627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Returns'!$H$22</c:f>
              <c:strCache>
                <c:ptCount val="1"/>
                <c:pt idx="0">
                  <c:v>YTD 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Returns'!$G$23:$G$24</c:f>
              <c:strCache>
                <c:ptCount val="2"/>
                <c:pt idx="0">
                  <c:v>Quant 60/40</c:v>
                </c:pt>
                <c:pt idx="1">
                  <c:v>All World 60/40</c:v>
                </c:pt>
              </c:strCache>
            </c:strRef>
          </c:cat>
          <c:val>
            <c:numRef>
              <c:f>'Quant 6040 Returns'!$H$23:$H$24</c:f>
              <c:numCache>
                <c:formatCode>0.00%</c:formatCode>
                <c:ptCount val="2"/>
                <c:pt idx="0">
                  <c:v>0.11789592867606999</c:v>
                </c:pt>
                <c:pt idx="1">
                  <c:v>5.6868845071217311E-2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BE5-41FB-ADA8-F86B83AF570D}"/>
            </c:ext>
          </c:extLst>
        </c:ser>
        <c:ser>
          <c:idx val="1"/>
          <c:order val="1"/>
          <c:tx>
            <c:strRef>
              <c:f>'Quant 6040 Returns'!$I$22</c:f>
              <c:strCache>
                <c:ptCount val="1"/>
                <c:pt idx="0">
                  <c:v>1yr Return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Returns'!$G$23:$G$24</c:f>
              <c:strCache>
                <c:ptCount val="2"/>
                <c:pt idx="0">
                  <c:v>Quant 60/40</c:v>
                </c:pt>
                <c:pt idx="1">
                  <c:v>All World 60/40</c:v>
                </c:pt>
              </c:strCache>
            </c:strRef>
          </c:cat>
          <c:val>
            <c:numRef>
              <c:f>'Quant 6040 Returns'!$I$23:$I$24</c:f>
              <c:numCache>
                <c:formatCode>0.00%</c:formatCode>
                <c:ptCount val="2"/>
                <c:pt idx="0">
                  <c:v>0.48801306848510168</c:v>
                </c:pt>
                <c:pt idx="1">
                  <c:v>0.21701236976297555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BBE5-41FB-ADA8-F86B83AF570D}"/>
            </c:ext>
          </c:extLst>
        </c:ser>
        <c:ser>
          <c:idx val="2"/>
          <c:order val="2"/>
          <c:tx>
            <c:strRef>
              <c:f>'Quant 6040 Returns'!$J$22</c:f>
              <c:strCache>
                <c:ptCount val="1"/>
                <c:pt idx="0">
                  <c:v>3yr Return</c:v>
                </c:pt>
              </c:strCache>
            </c:strRef>
          </c:tx>
          <c:spPr>
            <a:solidFill>
              <a:srgbClr val="FBBC0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Returns'!$G$23:$G$24</c:f>
              <c:strCache>
                <c:ptCount val="2"/>
                <c:pt idx="0">
                  <c:v>Quant 60/40</c:v>
                </c:pt>
                <c:pt idx="1">
                  <c:v>All World 60/40</c:v>
                </c:pt>
              </c:strCache>
            </c:strRef>
          </c:cat>
          <c:val>
            <c:numRef>
              <c:f>'Quant 6040 Returns'!$J$23:$J$24</c:f>
              <c:numCache>
                <c:formatCode>0.00%</c:formatCode>
                <c:ptCount val="2"/>
                <c:pt idx="0">
                  <c:v>0.77727951691213493</c:v>
                </c:pt>
                <c:pt idx="1">
                  <c:v>0.36491728059951895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BBE5-41FB-ADA8-F86B83AF570D}"/>
            </c:ext>
          </c:extLst>
        </c:ser>
        <c:ser>
          <c:idx val="3"/>
          <c:order val="3"/>
          <c:tx>
            <c:strRef>
              <c:f>'Quant 6040 Returns'!$K$22</c:f>
              <c:strCache>
                <c:ptCount val="1"/>
                <c:pt idx="0">
                  <c:v>5yr Return</c:v>
                </c:pt>
              </c:strCache>
            </c:strRef>
          </c:tx>
          <c:spPr>
            <a:solidFill>
              <a:srgbClr val="34A853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Returns'!$G$23:$G$24</c:f>
              <c:strCache>
                <c:ptCount val="2"/>
                <c:pt idx="0">
                  <c:v>Quant 60/40</c:v>
                </c:pt>
                <c:pt idx="1">
                  <c:v>All World 60/40</c:v>
                </c:pt>
              </c:strCache>
            </c:strRef>
          </c:cat>
          <c:val>
            <c:numRef>
              <c:f>'Quant 6040 Returns'!$K$23:$K$24</c:f>
              <c:numCache>
                <c:formatCode>0.00%</c:formatCode>
                <c:ptCount val="2"/>
                <c:pt idx="0">
                  <c:v>1.2312365142201267</c:v>
                </c:pt>
                <c:pt idx="1">
                  <c:v>0.57464557438989317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BBE5-41FB-ADA8-F86B83AF57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0249062"/>
        <c:axId val="359645727"/>
      </c:barChart>
      <c:catAx>
        <c:axId val="26024906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359645727"/>
        <c:crosses val="autoZero"/>
        <c:auto val="1"/>
        <c:lblAlgn val="ctr"/>
        <c:lblOffset val="100"/>
        <c:noMultiLvlLbl val="1"/>
      </c:catAx>
      <c:valAx>
        <c:axId val="35964572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cross"/>
        <c:minorTickMark val="cross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60249062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Monthly Returns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Stats'!$D$1</c:f>
              <c:strCache>
                <c:ptCount val="1"/>
                <c:pt idx="0">
                  <c:v>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Stats'!$A$2:$A$67</c:f>
              <c:numCache>
                <c:formatCode>mmm\-d</c:formatCode>
                <c:ptCount val="66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</c:numCache>
            </c:numRef>
          </c:cat>
          <c:val>
            <c:numRef>
              <c:f>'Quant 6040 Stats'!$D$2:$D$67</c:f>
              <c:numCache>
                <c:formatCode>0.00%</c:formatCode>
                <c:ptCount val="66"/>
                <c:pt idx="0">
                  <c:v>-1.917E-2</c:v>
                </c:pt>
                <c:pt idx="1">
                  <c:v>1.3018999999999999E-2</c:v>
                </c:pt>
                <c:pt idx="2">
                  <c:v>4.6700000000000002E-4</c:v>
                </c:pt>
                <c:pt idx="3">
                  <c:v>4.2009999999999999E-3</c:v>
                </c:pt>
                <c:pt idx="4">
                  <c:v>1.4737E-2</c:v>
                </c:pt>
                <c:pt idx="5">
                  <c:v>7.28E-3</c:v>
                </c:pt>
                <c:pt idx="6">
                  <c:v>4.3622000000000001E-2</c:v>
                </c:pt>
                <c:pt idx="7">
                  <c:v>2.2550000000000001E-3</c:v>
                </c:pt>
                <c:pt idx="8">
                  <c:v>4.2700000000000002E-4</c:v>
                </c:pt>
                <c:pt idx="9">
                  <c:v>-1.174E-2</c:v>
                </c:pt>
                <c:pt idx="10">
                  <c:v>3.127E-3</c:v>
                </c:pt>
                <c:pt idx="11">
                  <c:v>2.5020000000000001E-2</c:v>
                </c:pt>
                <c:pt idx="12">
                  <c:v>6.7390000000000002E-3</c:v>
                </c:pt>
                <c:pt idx="13">
                  <c:v>1.6858000000000001E-2</c:v>
                </c:pt>
                <c:pt idx="14">
                  <c:v>1.0926E-2</c:v>
                </c:pt>
                <c:pt idx="15">
                  <c:v>2.0514999999999999E-2</c:v>
                </c:pt>
                <c:pt idx="16">
                  <c:v>3.0942000000000001E-2</c:v>
                </c:pt>
                <c:pt idx="17">
                  <c:v>-1.073E-2</c:v>
                </c:pt>
                <c:pt idx="18">
                  <c:v>2.1735999999999998E-2</c:v>
                </c:pt>
                <c:pt idx="19">
                  <c:v>2.6068999999999998E-2</c:v>
                </c:pt>
                <c:pt idx="20">
                  <c:v>-1.1039999999999999E-2</c:v>
                </c:pt>
                <c:pt idx="21">
                  <c:v>2.8462999999999999E-2</c:v>
                </c:pt>
                <c:pt idx="22">
                  <c:v>1.6244000000000001E-2</c:v>
                </c:pt>
                <c:pt idx="23">
                  <c:v>-1.1999999999999999E-3</c:v>
                </c:pt>
                <c:pt idx="24">
                  <c:v>3.952E-2</c:v>
                </c:pt>
                <c:pt idx="25">
                  <c:v>-1.136E-2</c:v>
                </c:pt>
                <c:pt idx="26">
                  <c:v>-2.6630000000000001E-2</c:v>
                </c:pt>
                <c:pt idx="27">
                  <c:v>4.9430000000000003E-3</c:v>
                </c:pt>
                <c:pt idx="28">
                  <c:v>1.1360000000000001E-3</c:v>
                </c:pt>
                <c:pt idx="29">
                  <c:v>6.2729999999999999E-3</c:v>
                </c:pt>
                <c:pt idx="30">
                  <c:v>2.3865999999999998E-2</c:v>
                </c:pt>
                <c:pt idx="31">
                  <c:v>3.7157000000000003E-2</c:v>
                </c:pt>
                <c:pt idx="32">
                  <c:v>7.6999999999999996E-4</c:v>
                </c:pt>
                <c:pt idx="33">
                  <c:v>-5.9549999999999999E-2</c:v>
                </c:pt>
                <c:pt idx="34">
                  <c:v>-7.1000000000000002E-4</c:v>
                </c:pt>
                <c:pt idx="35">
                  <c:v>-4.7400000000000003E-3</c:v>
                </c:pt>
                <c:pt idx="36">
                  <c:v>3.0209999999999998E-3</c:v>
                </c:pt>
                <c:pt idx="37">
                  <c:v>1.2446E-2</c:v>
                </c:pt>
                <c:pt idx="38">
                  <c:v>4.5918E-2</c:v>
                </c:pt>
                <c:pt idx="39">
                  <c:v>3.8231000000000001E-2</c:v>
                </c:pt>
                <c:pt idx="40">
                  <c:v>-5.7279999999999998E-2</c:v>
                </c:pt>
                <c:pt idx="41">
                  <c:v>6.5550000000000001E-3</c:v>
                </c:pt>
                <c:pt idx="42">
                  <c:v>1.01E-2</c:v>
                </c:pt>
                <c:pt idx="43">
                  <c:v>3.4132999999999997E-2</c:v>
                </c:pt>
                <c:pt idx="44">
                  <c:v>-5.2100000000000002E-3</c:v>
                </c:pt>
                <c:pt idx="45">
                  <c:v>8.8079999999999999E-3</c:v>
                </c:pt>
                <c:pt idx="46">
                  <c:v>2.2789E-2</c:v>
                </c:pt>
                <c:pt idx="47">
                  <c:v>3.1343000000000003E-2</c:v>
                </c:pt>
                <c:pt idx="48">
                  <c:v>1.6404999999999999E-2</c:v>
                </c:pt>
                <c:pt idx="49">
                  <c:v>-9.8399999999999998E-3</c:v>
                </c:pt>
                <c:pt idx="50">
                  <c:v>3.2976999999999999E-2</c:v>
                </c:pt>
                <c:pt idx="51">
                  <c:v>6.5030000000000001E-3</c:v>
                </c:pt>
                <c:pt idx="52">
                  <c:v>-7.5199999999999998E-3</c:v>
                </c:pt>
                <c:pt idx="53">
                  <c:v>3.9058000000000002E-2</c:v>
                </c:pt>
                <c:pt idx="54">
                  <c:v>6.5683000000000005E-2</c:v>
                </c:pt>
                <c:pt idx="55">
                  <c:v>6.6103999999999996E-2</c:v>
                </c:pt>
                <c:pt idx="56">
                  <c:v>-3.7850000000000002E-2</c:v>
                </c:pt>
                <c:pt idx="57">
                  <c:v>-1.6410000000000001E-2</c:v>
                </c:pt>
                <c:pt idx="58">
                  <c:v>0.123616</c:v>
                </c:pt>
                <c:pt idx="59">
                  <c:v>6.0384E-2</c:v>
                </c:pt>
                <c:pt idx="60">
                  <c:v>2.7089999999999999E-2</c:v>
                </c:pt>
                <c:pt idx="61">
                  <c:v>3.7817000000000003E-2</c:v>
                </c:pt>
                <c:pt idx="62">
                  <c:v>1.2197E-2</c:v>
                </c:pt>
                <c:pt idx="63">
                  <c:v>2.8806999999999999E-2</c:v>
                </c:pt>
                <c:pt idx="64">
                  <c:v>1.7240000000000001E-3</c:v>
                </c:pt>
                <c:pt idx="65">
                  <c:v>1.8799999999999997E-2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AEB-4B09-8A82-36FD90CF2CAA}"/>
            </c:ext>
          </c:extLst>
        </c:ser>
        <c:ser>
          <c:idx val="1"/>
          <c:order val="1"/>
          <c:tx>
            <c:strRef>
              <c:f>'Quant 6040 Stats'!$B$1</c:f>
              <c:strCache>
                <c:ptCount val="1"/>
                <c:pt idx="0">
                  <c:v>Portfolio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Stats'!$A$2:$A$67</c:f>
              <c:numCache>
                <c:formatCode>mmm\-d</c:formatCode>
                <c:ptCount val="66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</c:numCache>
            </c:numRef>
          </c:cat>
          <c:val>
            <c:numRef>
              <c:f>'Quant 6040 Stats'!$B$2:$B$67</c:f>
              <c:numCache>
                <c:formatCode>General</c:formatCode>
                <c:ptCount val="6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BAEB-4B09-8A82-36FD90CF2CAA}"/>
            </c:ext>
          </c:extLst>
        </c:ser>
        <c:ser>
          <c:idx val="2"/>
          <c:order val="2"/>
          <c:tx>
            <c:strRef>
              <c:f>'Quant 6040 Stats'!$C$1</c:f>
              <c:strCache>
                <c:ptCount val="1"/>
                <c:pt idx="0">
                  <c:v>Starting Weights</c:v>
                </c:pt>
              </c:strCache>
            </c:strRef>
          </c:tx>
          <c:invertIfNegative val="1"/>
          <c:cat>
            <c:numRef>
              <c:f>'Quant 6040 Stats'!$A$2:$A$67</c:f>
              <c:numCache>
                <c:formatCode>mmm\-d</c:formatCode>
                <c:ptCount val="66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</c:numCache>
            </c:numRef>
          </c:cat>
          <c:val>
            <c:numRef>
              <c:f>'Quant 6040 Stats'!$C$2:$C$67</c:f>
              <c:numCache>
                <c:formatCode>General</c:formatCode>
                <c:ptCount val="6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EB-4B09-8A82-36FD90CF2CAA}"/>
            </c:ext>
          </c:extLst>
        </c:ser>
        <c:ser>
          <c:idx val="3"/>
          <c:order val="3"/>
          <c:tx>
            <c:strRef>
              <c:f>'Quant 6040 Stats'!$E$1</c:f>
              <c:strCache>
                <c:ptCount val="1"/>
                <c:pt idx="0">
                  <c:v>Bench Return</c:v>
                </c:pt>
              </c:strCache>
            </c:strRef>
          </c:tx>
          <c:invertIfNegative val="1"/>
          <c:cat>
            <c:numRef>
              <c:f>'Quant 6040 Stats'!$A$2:$A$67</c:f>
              <c:numCache>
                <c:formatCode>mmm\-d</c:formatCode>
                <c:ptCount val="66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</c:numCache>
            </c:numRef>
          </c:cat>
          <c:val>
            <c:numRef>
              <c:f>'Quant 6040 Stats'!$E$2:$E$67</c:f>
              <c:numCache>
                <c:formatCode>0.00%</c:formatCode>
                <c:ptCount val="66"/>
                <c:pt idx="0">
                  <c:v>-2.0389999999999998E-2</c:v>
                </c:pt>
                <c:pt idx="1">
                  <c:v>-4.0899999999999999E-3</c:v>
                </c:pt>
                <c:pt idx="2">
                  <c:v>4.0822999999999998E-2</c:v>
                </c:pt>
                <c:pt idx="3">
                  <c:v>8.0169999999999998E-3</c:v>
                </c:pt>
                <c:pt idx="4">
                  <c:v>4.5519999999999996E-3</c:v>
                </c:pt>
                <c:pt idx="5">
                  <c:v>5.927E-3</c:v>
                </c:pt>
                <c:pt idx="6">
                  <c:v>2.4804E-2</c:v>
                </c:pt>
                <c:pt idx="7">
                  <c:v>-1.7899999999999999E-3</c:v>
                </c:pt>
                <c:pt idx="8">
                  <c:v>5.581E-3</c:v>
                </c:pt>
                <c:pt idx="9">
                  <c:v>-1.9199999999999998E-2</c:v>
                </c:pt>
                <c:pt idx="10">
                  <c:v>-8.7799999999999996E-3</c:v>
                </c:pt>
                <c:pt idx="11">
                  <c:v>1.3599999999999999E-2</c:v>
                </c:pt>
                <c:pt idx="12">
                  <c:v>1.6317000000000002E-2</c:v>
                </c:pt>
                <c:pt idx="13">
                  <c:v>1.7555000000000001E-2</c:v>
                </c:pt>
                <c:pt idx="14">
                  <c:v>1.0187E-2</c:v>
                </c:pt>
                <c:pt idx="15">
                  <c:v>1.4893999999999999E-2</c:v>
                </c:pt>
                <c:pt idx="16">
                  <c:v>1.6971E-2</c:v>
                </c:pt>
                <c:pt idx="17">
                  <c:v>1.7290000000000001E-3</c:v>
                </c:pt>
                <c:pt idx="18">
                  <c:v>1.5103E-2</c:v>
                </c:pt>
                <c:pt idx="19">
                  <c:v>6.1440000000000002E-3</c:v>
                </c:pt>
                <c:pt idx="20">
                  <c:v>8.652E-3</c:v>
                </c:pt>
                <c:pt idx="21">
                  <c:v>1.0789999999999999E-2</c:v>
                </c:pt>
                <c:pt idx="22">
                  <c:v>1.0042000000000001E-2</c:v>
                </c:pt>
                <c:pt idx="23">
                  <c:v>8.2719999999999998E-3</c:v>
                </c:pt>
                <c:pt idx="24">
                  <c:v>2.2155000000000001E-2</c:v>
                </c:pt>
                <c:pt idx="25">
                  <c:v>-2.9510000000000002E-2</c:v>
                </c:pt>
                <c:pt idx="26">
                  <c:v>-3.7599999999999999E-3</c:v>
                </c:pt>
                <c:pt idx="27">
                  <c:v>8.0500000000000005E-4</c:v>
                </c:pt>
                <c:pt idx="28">
                  <c:v>6.4279999999999997E-3</c:v>
                </c:pt>
                <c:pt idx="29">
                  <c:v>-1.8E-3</c:v>
                </c:pt>
                <c:pt idx="30">
                  <c:v>1.6399E-2</c:v>
                </c:pt>
                <c:pt idx="31">
                  <c:v>7.6470000000000002E-3</c:v>
                </c:pt>
                <c:pt idx="32">
                  <c:v>-1.34E-3</c:v>
                </c:pt>
                <c:pt idx="33">
                  <c:v>-4.7840000000000001E-2</c:v>
                </c:pt>
                <c:pt idx="34">
                  <c:v>1.285E-2</c:v>
                </c:pt>
                <c:pt idx="35">
                  <c:v>-3.2329999999999998E-2</c:v>
                </c:pt>
                <c:pt idx="36">
                  <c:v>4.8135999999999998E-2</c:v>
                </c:pt>
                <c:pt idx="37">
                  <c:v>1.6188999999999999E-2</c:v>
                </c:pt>
                <c:pt idx="38">
                  <c:v>1.7711999999999999E-2</c:v>
                </c:pt>
                <c:pt idx="39">
                  <c:v>1.8495000000000001E-2</c:v>
                </c:pt>
                <c:pt idx="40">
                  <c:v>-2.2259999999999999E-2</c:v>
                </c:pt>
                <c:pt idx="41">
                  <c:v>4.3827999999999999E-2</c:v>
                </c:pt>
                <c:pt idx="42">
                  <c:v>-1.4499999999999999E-3</c:v>
                </c:pt>
                <c:pt idx="43">
                  <c:v>3.7759999999999998E-3</c:v>
                </c:pt>
                <c:pt idx="44">
                  <c:v>1.0088E-2</c:v>
                </c:pt>
                <c:pt idx="45">
                  <c:v>1.7233999999999999E-2</c:v>
                </c:pt>
                <c:pt idx="46">
                  <c:v>1.1998E-2</c:v>
                </c:pt>
                <c:pt idx="47">
                  <c:v>1.3651999999999999E-2</c:v>
                </c:pt>
                <c:pt idx="48">
                  <c:v>5.2119999999999996E-3</c:v>
                </c:pt>
                <c:pt idx="49">
                  <c:v>-3.5439999999999999E-2</c:v>
                </c:pt>
                <c:pt idx="50">
                  <c:v>-6.9159999999999999E-2</c:v>
                </c:pt>
                <c:pt idx="51">
                  <c:v>5.7951000000000003E-2</c:v>
                </c:pt>
                <c:pt idx="52">
                  <c:v>3.3779000000000003E-2</c:v>
                </c:pt>
                <c:pt idx="53">
                  <c:v>1.7564E-2</c:v>
                </c:pt>
                <c:pt idx="54">
                  <c:v>2.6463E-2</c:v>
                </c:pt>
                <c:pt idx="55">
                  <c:v>3.1600999999999997E-2</c:v>
                </c:pt>
                <c:pt idx="56">
                  <c:v>-1.546E-2</c:v>
                </c:pt>
                <c:pt idx="57">
                  <c:v>-2.2020000000000001E-2</c:v>
                </c:pt>
                <c:pt idx="58">
                  <c:v>7.9570000000000002E-2</c:v>
                </c:pt>
                <c:pt idx="59">
                  <c:v>2.8118000000000001E-2</c:v>
                </c:pt>
                <c:pt idx="60">
                  <c:v>-7.7099999999999998E-3</c:v>
                </c:pt>
                <c:pt idx="61">
                  <c:v>6.6769999999999998E-3</c:v>
                </c:pt>
                <c:pt idx="62">
                  <c:v>8.9320000000000007E-3</c:v>
                </c:pt>
                <c:pt idx="63">
                  <c:v>2.7969999999999998E-2</c:v>
                </c:pt>
                <c:pt idx="64">
                  <c:v>1.3516E-2</c:v>
                </c:pt>
                <c:pt idx="65">
                  <c:v>8.3000000000000001E-3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EB-4B09-8A82-36FD90CF2C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300558"/>
        <c:axId val="1807701231"/>
      </c:barChart>
      <c:dateAx>
        <c:axId val="142030055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mmm&quot;-&quot;d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807701231"/>
        <c:crosses val="autoZero"/>
        <c:auto val="1"/>
        <c:lblOffset val="100"/>
        <c:baseTimeUnit val="days"/>
      </c:dateAx>
      <c:valAx>
        <c:axId val="180770123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420300558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Stats'!$L$21</c:f>
              <c:strCache>
                <c:ptCount val="1"/>
                <c:pt idx="0">
                  <c:v>YTD 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Stats'!$K$22:$K$24</c:f>
              <c:strCache>
                <c:ptCount val="3"/>
                <c:pt idx="0">
                  <c:v>Quant 60/40</c:v>
                </c:pt>
                <c:pt idx="1">
                  <c:v>All World 60/40 (Benchmark)</c:v>
                </c:pt>
                <c:pt idx="2">
                  <c:v>SPY (Benchmark)</c:v>
                </c:pt>
              </c:strCache>
            </c:strRef>
          </c:cat>
          <c:val>
            <c:numRef>
              <c:f>'Quant 6040 Stats'!$L$22:$L$24</c:f>
              <c:numCache>
                <c:formatCode>0.00%</c:formatCode>
                <c:ptCount val="3"/>
                <c:pt idx="0">
                  <c:v>0.21564176148274589</c:v>
                </c:pt>
                <c:pt idx="1">
                  <c:v>4.4900508367269151E-2</c:v>
                </c:pt>
                <c:pt idx="2">
                  <c:v>0.159160388866768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AAB3-44B2-86FF-80CAB5983C76}"/>
            </c:ext>
          </c:extLst>
        </c:ser>
        <c:ser>
          <c:idx val="1"/>
          <c:order val="1"/>
          <c:tx>
            <c:strRef>
              <c:f>'Quant 6040 Stats'!$M$21</c:f>
              <c:strCache>
                <c:ptCount val="1"/>
                <c:pt idx="0">
                  <c:v>1yr Return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Stats'!$K$22:$K$24</c:f>
              <c:strCache>
                <c:ptCount val="3"/>
                <c:pt idx="0">
                  <c:v>Quant 60/40</c:v>
                </c:pt>
                <c:pt idx="1">
                  <c:v>All World 60/40 (Benchmark)</c:v>
                </c:pt>
                <c:pt idx="2">
                  <c:v>SPY (Benchmark)</c:v>
                </c:pt>
              </c:strCache>
            </c:strRef>
          </c:cat>
          <c:val>
            <c:numRef>
              <c:f>'Quant 6040 Stats'!$M$22:$M$24</c:f>
              <c:numCache>
                <c:formatCode>0.00%</c:formatCode>
                <c:ptCount val="3"/>
                <c:pt idx="0">
                  <c:v>0.28904707360811999</c:v>
                </c:pt>
                <c:pt idx="1">
                  <c:v>7.4281020861540037E-2</c:v>
                </c:pt>
                <c:pt idx="2">
                  <c:v>0.25115869150003872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AAB3-44B2-86FF-80CAB5983C76}"/>
            </c:ext>
          </c:extLst>
        </c:ser>
        <c:ser>
          <c:idx val="2"/>
          <c:order val="2"/>
          <c:tx>
            <c:strRef>
              <c:f>'Quant 6040 Stats'!$N$21</c:f>
              <c:strCache>
                <c:ptCount val="1"/>
                <c:pt idx="0">
                  <c:v>3yr Return</c:v>
                </c:pt>
              </c:strCache>
            </c:strRef>
          </c:tx>
          <c:spPr>
            <a:solidFill>
              <a:srgbClr val="FBBC0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Stats'!$K$22:$K$24</c:f>
              <c:strCache>
                <c:ptCount val="3"/>
                <c:pt idx="0">
                  <c:v>Quant 60/40</c:v>
                </c:pt>
                <c:pt idx="1">
                  <c:v>All World 60/40 (Benchmark)</c:v>
                </c:pt>
                <c:pt idx="2">
                  <c:v>SPY (Benchmark)</c:v>
                </c:pt>
              </c:strCache>
            </c:strRef>
          </c:cat>
          <c:val>
            <c:numRef>
              <c:f>'Quant 6040 Stats'!$N$22:$N$24</c:f>
              <c:numCache>
                <c:formatCode>0.00%</c:formatCode>
                <c:ptCount val="3"/>
                <c:pt idx="0">
                  <c:v>0.93375905027554318</c:v>
                </c:pt>
                <c:pt idx="1">
                  <c:v>0.33049972264295369</c:v>
                </c:pt>
                <c:pt idx="2">
                  <c:v>0.56656026359576006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AAB3-44B2-86FF-80CAB5983C76}"/>
            </c:ext>
          </c:extLst>
        </c:ser>
        <c:ser>
          <c:idx val="3"/>
          <c:order val="3"/>
          <c:tx>
            <c:strRef>
              <c:f>'Quant 6040 Stats'!$O$21</c:f>
              <c:strCache>
                <c:ptCount val="1"/>
                <c:pt idx="0">
                  <c:v>5yr Return</c:v>
                </c:pt>
              </c:strCache>
            </c:strRef>
          </c:tx>
          <c:spPr>
            <a:solidFill>
              <a:srgbClr val="34A853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Stats'!$K$22:$K$24</c:f>
              <c:strCache>
                <c:ptCount val="3"/>
                <c:pt idx="0">
                  <c:v>Quant 60/40</c:v>
                </c:pt>
                <c:pt idx="1">
                  <c:v>All World 60/40 (Benchmark)</c:v>
                </c:pt>
                <c:pt idx="2">
                  <c:v>SPY (Benchmark)</c:v>
                </c:pt>
              </c:strCache>
            </c:strRef>
          </c:cat>
          <c:val>
            <c:numRef>
              <c:f>'Quant 6040 Stats'!$O$22:$O$24</c:f>
              <c:numCache>
                <c:formatCode>0.00%</c:formatCode>
                <c:ptCount val="3"/>
                <c:pt idx="0">
                  <c:v>1.346236389847373</c:v>
                </c:pt>
                <c:pt idx="1">
                  <c:v>0.5430372748862442</c:v>
                </c:pt>
                <c:pt idx="2">
                  <c:v>1.1749100022986758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AAB3-44B2-86FF-80CAB5983C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0014771"/>
        <c:axId val="1174913889"/>
      </c:barChart>
      <c:catAx>
        <c:axId val="30001477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174913889"/>
        <c:crosses val="autoZero"/>
        <c:auto val="1"/>
        <c:lblAlgn val="ctr"/>
        <c:lblOffset val="100"/>
        <c:noMultiLvlLbl val="1"/>
      </c:catAx>
      <c:valAx>
        <c:axId val="117491388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cross"/>
        <c:minorTickMark val="cross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300014771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areaChart>
        <c:grouping val="standard"/>
        <c:varyColors val="1"/>
        <c:ser>
          <c:idx val="0"/>
          <c:order val="0"/>
          <c:tx>
            <c:strRef>
              <c:f>'Quant 6040 Stats'!$K$22</c:f>
              <c:strCache>
                <c:ptCount val="1"/>
                <c:pt idx="0">
                  <c:v>Quant 60/40</c:v>
                </c:pt>
              </c:strCache>
            </c:strRef>
          </c:tx>
          <c:spPr>
            <a:solidFill>
              <a:srgbClr val="4285F4">
                <a:alpha val="30000"/>
              </a:srgbClr>
            </a:solidFill>
            <a:ln cmpd="sng">
              <a:solidFill>
                <a:srgbClr val="4285F4"/>
              </a:solidFill>
            </a:ln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Stats'!$L$22:$O$22</c:f>
              <c:numCache>
                <c:formatCode>0.00%</c:formatCode>
                <c:ptCount val="4"/>
                <c:pt idx="0">
                  <c:v>0.21564176148274589</c:v>
                </c:pt>
                <c:pt idx="1">
                  <c:v>0.28904707360811999</c:v>
                </c:pt>
                <c:pt idx="2">
                  <c:v>0.93375905027554318</c:v>
                </c:pt>
                <c:pt idx="3">
                  <c:v>1.346236389847373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36-4B6D-A6B5-12065D265CE2}"/>
            </c:ext>
          </c:extLst>
        </c:ser>
        <c:ser>
          <c:idx val="1"/>
          <c:order val="1"/>
          <c:tx>
            <c:strRef>
              <c:f>'Quant 6040 Stats'!$K$23</c:f>
              <c:strCache>
                <c:ptCount val="1"/>
                <c:pt idx="0">
                  <c:v>All World 60/40 (Benchmark)</c:v>
                </c:pt>
              </c:strCache>
            </c:strRef>
          </c:tx>
          <c:spPr>
            <a:solidFill>
              <a:srgbClr val="EA4335">
                <a:alpha val="30000"/>
              </a:srgbClr>
            </a:solidFill>
            <a:ln cmpd="sng">
              <a:solidFill>
                <a:srgbClr val="EA4335"/>
              </a:solidFill>
            </a:ln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Stats'!$L$23:$O$23</c:f>
              <c:numCache>
                <c:formatCode>0.00%</c:formatCode>
                <c:ptCount val="4"/>
                <c:pt idx="0">
                  <c:v>4.4900508367269151E-2</c:v>
                </c:pt>
                <c:pt idx="1">
                  <c:v>7.4281020861540037E-2</c:v>
                </c:pt>
                <c:pt idx="2">
                  <c:v>0.33049972264295369</c:v>
                </c:pt>
                <c:pt idx="3">
                  <c:v>0.5430372748862442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136-4B6D-A6B5-12065D265CE2}"/>
            </c:ext>
          </c:extLst>
        </c:ser>
        <c:ser>
          <c:idx val="2"/>
          <c:order val="2"/>
          <c:tx>
            <c:strRef>
              <c:f>'Quant 6040 Stats'!$K$24</c:f>
              <c:strCache>
                <c:ptCount val="1"/>
                <c:pt idx="0">
                  <c:v>SPY (Benchmark)</c:v>
                </c:pt>
              </c:strCache>
            </c:strRef>
          </c:tx>
          <c:spPr>
            <a:solidFill>
              <a:srgbClr val="FBBC04">
                <a:alpha val="30000"/>
              </a:srgbClr>
            </a:solidFill>
            <a:ln cmpd="sng">
              <a:solidFill>
                <a:srgbClr val="FBBC04"/>
              </a:solidFill>
            </a:ln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Stats'!$L$24:$O$24</c:f>
              <c:numCache>
                <c:formatCode>0.00%</c:formatCode>
                <c:ptCount val="4"/>
                <c:pt idx="0">
                  <c:v>0.159160388866768</c:v>
                </c:pt>
                <c:pt idx="1">
                  <c:v>0.25115869150003872</c:v>
                </c:pt>
                <c:pt idx="2">
                  <c:v>0.56656026359576006</c:v>
                </c:pt>
                <c:pt idx="3">
                  <c:v>1.1749100022986758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136-4B6D-A6B5-12065D265C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1890758"/>
        <c:axId val="463983427"/>
      </c:areaChart>
      <c:catAx>
        <c:axId val="75189075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463983427"/>
        <c:crosses val="autoZero"/>
        <c:auto val="1"/>
        <c:lblAlgn val="ctr"/>
        <c:lblOffset val="100"/>
        <c:noMultiLvlLbl val="1"/>
      </c:catAx>
      <c:valAx>
        <c:axId val="46398342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751890758"/>
        <c:crosses val="autoZero"/>
        <c:crossBetween val="midCat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Quant 60/40 and All World 60/40 (Benchmark)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Stats'!$K$22</c:f>
              <c:strCache>
                <c:ptCount val="1"/>
                <c:pt idx="0">
                  <c:v>Quant 60/40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Stats'!$L$22:$O$22</c:f>
              <c:numCache>
                <c:formatCode>0.00%</c:formatCode>
                <c:ptCount val="4"/>
                <c:pt idx="0">
                  <c:v>0.21564176148274589</c:v>
                </c:pt>
                <c:pt idx="1">
                  <c:v>0.28904707360811999</c:v>
                </c:pt>
                <c:pt idx="2">
                  <c:v>0.93375905027554318</c:v>
                </c:pt>
                <c:pt idx="3">
                  <c:v>1.346236389847373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54C4-41F9-BA74-A31C2A651C06}"/>
            </c:ext>
          </c:extLst>
        </c:ser>
        <c:ser>
          <c:idx val="1"/>
          <c:order val="1"/>
          <c:tx>
            <c:strRef>
              <c:f>'Quant 6040 Stats'!$K$23</c:f>
              <c:strCache>
                <c:ptCount val="1"/>
                <c:pt idx="0">
                  <c:v>All World 60/40 (Benchmark)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2-54C4-41F9-BA74-A31C2A651C06}"/>
              </c:ext>
            </c:extLst>
          </c:dPt>
          <c:dPt>
            <c:idx val="1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4-54C4-41F9-BA74-A31C2A651C06}"/>
              </c:ext>
            </c:extLst>
          </c:dPt>
          <c:dPt>
            <c:idx val="2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6-54C4-41F9-BA74-A31C2A651C06}"/>
              </c:ext>
            </c:extLst>
          </c:dPt>
          <c:dPt>
            <c:idx val="3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8-54C4-41F9-BA74-A31C2A651C0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Stats'!$L$23:$O$23</c:f>
              <c:numCache>
                <c:formatCode>0.00%</c:formatCode>
                <c:ptCount val="4"/>
                <c:pt idx="0">
                  <c:v>4.4900508367269151E-2</c:v>
                </c:pt>
                <c:pt idx="1">
                  <c:v>7.4281020861540037E-2</c:v>
                </c:pt>
                <c:pt idx="2">
                  <c:v>0.33049972264295369</c:v>
                </c:pt>
                <c:pt idx="3">
                  <c:v>0.5430372748862442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9-54C4-41F9-BA74-A31C2A651C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10089776"/>
        <c:axId val="1243959408"/>
      </c:barChart>
      <c:catAx>
        <c:axId val="1910089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243959408"/>
        <c:crosses val="autoZero"/>
        <c:auto val="1"/>
        <c:lblAlgn val="ctr"/>
        <c:lblOffset val="100"/>
        <c:noMultiLvlLbl val="1"/>
      </c:catAx>
      <c:valAx>
        <c:axId val="124395940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910089776"/>
        <c:crosses val="autoZero"/>
        <c:crossBetween val="between"/>
      </c:valAx>
    </c:plotArea>
    <c:legend>
      <c:legendPos val="r"/>
      <c:legendEntry>
        <c:idx val="1"/>
        <c:txPr>
          <a:bodyPr/>
          <a:lstStyle/>
          <a:p>
            <a:pPr lvl="0">
              <a:defRPr>
                <a:solidFill>
                  <a:srgbClr val="000000"/>
                </a:solidFill>
              </a:defRPr>
            </a:pPr>
            <a:endParaRPr lang="en-US"/>
          </a:p>
        </c:txPr>
      </c:legendEntry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4" Type="http://schemas.openxmlformats.org/officeDocument/2006/relationships/chart" Target="../charts/chart16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409575</xdr:colOff>
      <xdr:row>1</xdr:row>
      <xdr:rowOff>38100</xdr:rowOff>
    </xdr:from>
    <xdr:ext cx="6429375" cy="3971925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95250</xdr:rowOff>
    </xdr:from>
    <xdr:ext cx="6400800" cy="3514725"/>
    <xdr:graphicFrame macro="">
      <xdr:nvGraphicFramePr>
        <xdr:cNvPr id="2" name="Chart 2" title="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0</xdr:col>
      <xdr:colOff>47625</xdr:colOff>
      <xdr:row>26</xdr:row>
      <xdr:rowOff>19050</xdr:rowOff>
    </xdr:from>
    <xdr:ext cx="6400800" cy="3514725"/>
    <xdr:graphicFrame macro="">
      <xdr:nvGraphicFramePr>
        <xdr:cNvPr id="3" name="Chart 3" title="Chart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0</xdr:col>
      <xdr:colOff>0</xdr:colOff>
      <xdr:row>48</xdr:row>
      <xdr:rowOff>142875</xdr:rowOff>
    </xdr:from>
    <xdr:ext cx="6400800" cy="3533775"/>
    <xdr:graphicFrame macro="">
      <xdr:nvGraphicFramePr>
        <xdr:cNvPr id="4" name="Chart 4" title="Chart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7</xdr:row>
      <xdr:rowOff>76200</xdr:rowOff>
    </xdr:from>
    <xdr:ext cx="9048750" cy="3533775"/>
    <xdr:graphicFrame macro="">
      <xdr:nvGraphicFramePr>
        <xdr:cNvPr id="5" name="Chart 5" title="Chart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85725</xdr:colOff>
      <xdr:row>0</xdr:row>
      <xdr:rowOff>200025</xdr:rowOff>
    </xdr:from>
    <xdr:ext cx="7562850" cy="3686175"/>
    <xdr:graphicFrame macro="">
      <xdr:nvGraphicFramePr>
        <xdr:cNvPr id="6" name="Chart 6" title="Chart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9</xdr:col>
      <xdr:colOff>342900</xdr:colOff>
      <xdr:row>26</xdr:row>
      <xdr:rowOff>133350</xdr:rowOff>
    </xdr:from>
    <xdr:ext cx="6400800" cy="3514725"/>
    <xdr:graphicFrame macro="">
      <xdr:nvGraphicFramePr>
        <xdr:cNvPr id="7" name="Chart 7" title="Chart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9</xdr:col>
      <xdr:colOff>342900</xdr:colOff>
      <xdr:row>44</xdr:row>
      <xdr:rowOff>133350</xdr:rowOff>
    </xdr:from>
    <xdr:ext cx="6400800" cy="3514725"/>
    <xdr:graphicFrame macro="">
      <xdr:nvGraphicFramePr>
        <xdr:cNvPr id="8" name="Chart 8" title="Chart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66675</xdr:colOff>
      <xdr:row>0</xdr:row>
      <xdr:rowOff>0</xdr:rowOff>
    </xdr:from>
    <xdr:ext cx="5715000" cy="3533775"/>
    <xdr:graphicFrame macro="">
      <xdr:nvGraphicFramePr>
        <xdr:cNvPr id="9" name="Chart 9" title="Chart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47624</xdr:colOff>
      <xdr:row>0</xdr:row>
      <xdr:rowOff>19050</xdr:rowOff>
    </xdr:from>
    <xdr:ext cx="6743701" cy="2933700"/>
    <xdr:graphicFrame macro="">
      <xdr:nvGraphicFramePr>
        <xdr:cNvPr id="11" name="Chart 11" title="Chart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85725</xdr:colOff>
      <xdr:row>0</xdr:row>
      <xdr:rowOff>104775</xdr:rowOff>
    </xdr:from>
    <xdr:ext cx="9153525" cy="4438650"/>
    <xdr:graphicFrame macro="">
      <xdr:nvGraphicFramePr>
        <xdr:cNvPr id="12" name="Chart 12" title="Chart">
          <a:extLst>
            <a:ext uri="{FF2B5EF4-FFF2-40B4-BE49-F238E27FC236}">
              <a16:creationId xmlns:a16="http://schemas.microsoft.com/office/drawing/2014/main" id="{00000000-0008-0000-09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152400</xdr:colOff>
      <xdr:row>24</xdr:row>
      <xdr:rowOff>133350</xdr:rowOff>
    </xdr:from>
    <xdr:ext cx="6400800" cy="3514725"/>
    <xdr:graphicFrame macro="">
      <xdr:nvGraphicFramePr>
        <xdr:cNvPr id="13" name="Chart 13" title="Chart">
          <a:extLst>
            <a:ext uri="{FF2B5EF4-FFF2-40B4-BE49-F238E27FC236}">
              <a16:creationId xmlns:a16="http://schemas.microsoft.com/office/drawing/2014/main" id="{00000000-0008-0000-09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47625</xdr:colOff>
      <xdr:row>1</xdr:row>
      <xdr:rowOff>9525</xdr:rowOff>
    </xdr:from>
    <xdr:ext cx="7591425" cy="3686175"/>
    <xdr:graphicFrame macro="">
      <xdr:nvGraphicFramePr>
        <xdr:cNvPr id="14" name="Chart 14" title="Chart">
          <a:extLst>
            <a:ext uri="{FF2B5EF4-FFF2-40B4-BE49-F238E27FC236}">
              <a16:creationId xmlns:a16="http://schemas.microsoft.com/office/drawing/2014/main" id="{00000000-0008-0000-0A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9</xdr:col>
      <xdr:colOff>47625</xdr:colOff>
      <xdr:row>25</xdr:row>
      <xdr:rowOff>19050</xdr:rowOff>
    </xdr:from>
    <xdr:ext cx="6400800" cy="3514725"/>
    <xdr:graphicFrame macro="">
      <xdr:nvGraphicFramePr>
        <xdr:cNvPr id="15" name="Chart 15" title="Chart">
          <a:extLst>
            <a:ext uri="{FF2B5EF4-FFF2-40B4-BE49-F238E27FC236}">
              <a16:creationId xmlns:a16="http://schemas.microsoft.com/office/drawing/2014/main" id="{00000000-0008-0000-0A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9</xdr:col>
      <xdr:colOff>47625</xdr:colOff>
      <xdr:row>41</xdr:row>
      <xdr:rowOff>180975</xdr:rowOff>
    </xdr:from>
    <xdr:ext cx="6400800" cy="3943350"/>
    <xdr:graphicFrame macro="">
      <xdr:nvGraphicFramePr>
        <xdr:cNvPr id="16" name="Chart 16" title="Chart">
          <a:extLst>
            <a:ext uri="{FF2B5EF4-FFF2-40B4-BE49-F238E27FC236}">
              <a16:creationId xmlns:a16="http://schemas.microsoft.com/office/drawing/2014/main" id="{00000000-0008-0000-0A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9</xdr:col>
      <xdr:colOff>47625</xdr:colOff>
      <xdr:row>62</xdr:row>
      <xdr:rowOff>19050</xdr:rowOff>
    </xdr:from>
    <xdr:ext cx="6400800" cy="3514725"/>
    <xdr:graphicFrame macro="">
      <xdr:nvGraphicFramePr>
        <xdr:cNvPr id="17" name="Chart 17" title="Chart">
          <a:extLst>
            <a:ext uri="{FF2B5EF4-FFF2-40B4-BE49-F238E27FC236}">
              <a16:creationId xmlns:a16="http://schemas.microsoft.com/office/drawing/2014/main" id="{00000000-0008-0000-0A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Whale%2020%20Conservative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Whale%2020%20Growth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le 20 Conservative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le 20 Growth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64"/>
  <sheetViews>
    <sheetView workbookViewId="0"/>
  </sheetViews>
  <sheetFormatPr defaultColWidth="14.42578125" defaultRowHeight="15.75" customHeight="1"/>
  <cols>
    <col min="1" max="1" width="24.42578125" customWidth="1"/>
    <col min="2" max="2" width="18.7109375" customWidth="1"/>
  </cols>
  <sheetData>
    <row r="1" spans="1:26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2</v>
      </c>
      <c r="B2" s="5">
        <f>'Quant Rotation Monthly Returns'!L23</f>
        <v>0.21419292459133724</v>
      </c>
      <c r="C2" s="4"/>
      <c r="D2" s="6"/>
      <c r="E2" s="4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3</v>
      </c>
      <c r="B3" s="5">
        <f>'Quant 6040 Stats'!L22</f>
        <v>0.21564176148274589</v>
      </c>
      <c r="C3" s="4"/>
      <c r="D3" s="6"/>
      <c r="E3" s="4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4</v>
      </c>
      <c r="B4" s="5">
        <f ca="1">F10</f>
        <v>0.24027224165514238</v>
      </c>
      <c r="C4" s="4"/>
      <c r="D4" s="6"/>
      <c r="E4" s="4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4" t="s">
        <v>5</v>
      </c>
      <c r="B5" s="7" t="e">
        <f>'[1]Whale 20 Conservative'!C4</f>
        <v>#REF!</v>
      </c>
      <c r="C5" s="4"/>
      <c r="D5" s="6"/>
      <c r="E5" s="4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4" t="s">
        <v>6</v>
      </c>
      <c r="B6" s="7" t="e">
        <f>'[2]Whale 20 Growth'!C4</f>
        <v>#REF!</v>
      </c>
      <c r="C6" s="4"/>
      <c r="D6" s="6"/>
      <c r="E6" s="4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4" t="s">
        <v>7</v>
      </c>
      <c r="B7" s="7">
        <f ca="1">F19</f>
        <v>-0.20587055898628603</v>
      </c>
      <c r="C7" s="4"/>
      <c r="D7" s="6"/>
      <c r="E7" s="4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4"/>
      <c r="B8" s="4"/>
      <c r="C8" s="4"/>
      <c r="D8" s="6"/>
      <c r="E8" s="4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8" t="s">
        <v>8</v>
      </c>
      <c r="B9" s="9" t="s">
        <v>9</v>
      </c>
      <c r="C9" s="2" t="s">
        <v>10</v>
      </c>
      <c r="D9" s="2" t="s">
        <v>11</v>
      </c>
      <c r="E9" s="10">
        <v>44200</v>
      </c>
      <c r="F9" s="2" t="s">
        <v>12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4" t="s">
        <v>13</v>
      </c>
      <c r="B10" s="4" t="s">
        <v>14</v>
      </c>
      <c r="C10" s="11">
        <f ca="1">IFERROR(__xludf.DUMMYFUNCTION("GOOGLEFINANCE(B10, ""price"")"),457.4)</f>
        <v>457.4</v>
      </c>
      <c r="D10" s="7">
        <f ca="1">IFERROR(__xludf.DUMMYFUNCTION("GoogleFinance(B10,""changepct"")/100"),0.0152)</f>
        <v>1.52E-2</v>
      </c>
      <c r="E10" s="11">
        <f ca="1">IFERROR(__xludf.DUMMYFUNCTION("index(GOOGLEFINANCE(B10,""price"",""2021/01/04""),2,2)"),368.79)</f>
        <v>368.79</v>
      </c>
      <c r="F10" s="7">
        <f t="shared" ref="F10:F14" ca="1" si="0">C10/E10-1</f>
        <v>0.24027224165514238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4" t="s">
        <v>15</v>
      </c>
      <c r="B11" s="4" t="s">
        <v>16</v>
      </c>
      <c r="C11" s="11">
        <f ca="1">IFERROR(__xludf.DUMMYFUNCTION("GOOGLEFINANCE(B11, ""price"")"),389.91)</f>
        <v>389.91</v>
      </c>
      <c r="D11" s="7">
        <f ca="1">IFERROR(__xludf.DUMMYFUNCTION("GoogleFinance(B11,""changepct"")/100"),0.0072)</f>
        <v>7.1999999999999998E-3</v>
      </c>
      <c r="E11" s="11">
        <f ca="1">IFERROR(__xludf.DUMMYFUNCTION("index(GOOGLEFINANCE(B11,""price"",""2021/01/04""),2,2)"),309.31)</f>
        <v>309.31</v>
      </c>
      <c r="F11" s="7">
        <f t="shared" ca="1" si="0"/>
        <v>0.26058000064660058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4" t="s">
        <v>17</v>
      </c>
      <c r="B12" s="4" t="s">
        <v>18</v>
      </c>
      <c r="C12" s="11">
        <f ca="1">IFERROR(__xludf.DUMMYFUNCTION("GOOGLEFINANCE(B12, ""price"")"),346.61)</f>
        <v>346.61</v>
      </c>
      <c r="D12" s="7">
        <f ca="1">IFERROR(__xludf.DUMMYFUNCTION("GoogleFinance(B12,""changepct"")/100"),0.0181)</f>
        <v>1.8100000000000002E-2</v>
      </c>
      <c r="E12" s="11">
        <f ca="1">IFERROR(__xludf.DUMMYFUNCTION("index(GOOGLEFINANCE(B12,""price"",""2021/01/04""),2,2)"),302.32)</f>
        <v>302.32</v>
      </c>
      <c r="F12" s="7">
        <f t="shared" ca="1" si="0"/>
        <v>0.14650039693040484</v>
      </c>
      <c r="G12" s="12"/>
      <c r="H12" s="3"/>
      <c r="I12" s="3"/>
      <c r="J12" s="12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4" t="s">
        <v>19</v>
      </c>
      <c r="B13" s="4" t="s">
        <v>20</v>
      </c>
      <c r="C13" s="11">
        <f ca="1">IFERROR(__xludf.DUMMYFUNCTION("GOOGLEFINANCE(B13, ""price"")"),500)</f>
        <v>500</v>
      </c>
      <c r="D13" s="7">
        <f ca="1">IFERROR(__xludf.DUMMYFUNCTION("GoogleFinance(B13,""changepct"")/100"),0.0291)</f>
        <v>2.9100000000000001E-2</v>
      </c>
      <c r="E13" s="11">
        <f ca="1">IFERROR(__xludf.DUMMYFUNCTION("index(GOOGLEFINANCE(B13,""price"",""2021/01/04""),2,2)"),413.34)</f>
        <v>413.34</v>
      </c>
      <c r="F13" s="7">
        <f t="shared" ca="1" si="0"/>
        <v>0.2096579087434074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4" t="s">
        <v>21</v>
      </c>
      <c r="B14" s="4" t="s">
        <v>22</v>
      </c>
      <c r="C14" s="11">
        <f ca="1">IFERROR(__xludf.DUMMYFUNCTION("GOOGLEFINANCE(B14, ""price"")"),219.21)</f>
        <v>219.21</v>
      </c>
      <c r="D14" s="7">
        <f ca="1">IFERROR(__xludf.DUMMYFUNCTION("GoogleFinance(B14,""changepct"")/100"),0.0279)</f>
        <v>2.7900000000000001E-2</v>
      </c>
      <c r="E14" s="11">
        <f ca="1">IFERROR(__xludf.DUMMYFUNCTION("index(GOOGLEFINANCE(B14,""price"",""2021/01/04""),2,2)"),193.5)</f>
        <v>193.5</v>
      </c>
      <c r="F14" s="7">
        <f t="shared" ca="1" si="0"/>
        <v>0.13286821705426366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4"/>
      <c r="B15" s="4"/>
      <c r="C15" s="11"/>
      <c r="D15" s="7"/>
      <c r="E15" s="11"/>
      <c r="F15" s="7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4" t="s">
        <v>23</v>
      </c>
      <c r="B16" s="4" t="s">
        <v>24</v>
      </c>
      <c r="C16" s="11">
        <f ca="1">IFERROR(__xludf.DUMMYFUNCTION("GOOGLEFINANCE(B16, ""price"")"),54.82)</f>
        <v>54.82</v>
      </c>
      <c r="D16" s="7">
        <f ca="1">IFERROR(__xludf.DUMMYFUNCTION("GoogleFinance(B16,""changepct"")/100"),0.0086)</f>
        <v>8.6E-3</v>
      </c>
      <c r="E16" s="11">
        <f ca="1">IFERROR(__xludf.DUMMYFUNCTION("index(GOOGLEFINANCE(B16,""price"",""2021/01/04""),2,2)"),43.41)</f>
        <v>43.41</v>
      </c>
      <c r="F16" s="7">
        <f t="shared" ref="F16:F21" ca="1" si="1">C16/E16-1</f>
        <v>0.26284266298087999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4" t="s">
        <v>25</v>
      </c>
      <c r="B17" s="4" t="s">
        <v>26</v>
      </c>
      <c r="C17" s="11">
        <f ca="1">IFERROR(__xludf.DUMMYFUNCTION("GOOGLEFINANCE(B17, ""price"")"),42.89)</f>
        <v>42.89</v>
      </c>
      <c r="D17" s="7">
        <f ca="1">IFERROR(__xludf.DUMMYFUNCTION("GoogleFinance(B17,""changepct"")/100"),0.00609999999999999)</f>
        <v>6.09999999999999E-3</v>
      </c>
      <c r="E17" s="11">
        <f ca="1">IFERROR(__xludf.DUMMYFUNCTION("index(GOOGLEFINANCE(B17,""price"",""2021/01/04""),2,2)"),39.75)</f>
        <v>39.75</v>
      </c>
      <c r="F17" s="7">
        <f t="shared" ca="1" si="1"/>
        <v>7.8993710691823926E-2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4" t="s">
        <v>27</v>
      </c>
      <c r="B18" s="4" t="s">
        <v>28</v>
      </c>
      <c r="C18" s="11">
        <f ca="1">IFERROR(__xludf.DUMMYFUNCTION("GOOGLEFINANCE(B18, ""price"")"),22.66)</f>
        <v>22.66</v>
      </c>
      <c r="D18" s="7">
        <f ca="1">IFERROR(__xludf.DUMMYFUNCTION("GoogleFinance(B18,""changepct"")/100"),-0.0044)</f>
        <v>-4.4000000000000003E-3</v>
      </c>
      <c r="E18" s="11">
        <f ca="1">IFERROR(__xludf.DUMMYFUNCTION("index(GOOGLEFINANCE(B18,""price"",""2021/01/04""),2,2)"),28.68)</f>
        <v>28.68</v>
      </c>
      <c r="F18" s="7">
        <f t="shared" ca="1" si="1"/>
        <v>-0.20990237099023712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4" t="s">
        <v>29</v>
      </c>
      <c r="B19" s="4" t="s">
        <v>30</v>
      </c>
      <c r="C19" s="11">
        <f ca="1">IFERROR(__xludf.DUMMYFUNCTION("GOOGLEFINANCE(B19, ""price"")"),99.02)</f>
        <v>99.02</v>
      </c>
      <c r="D19" s="7">
        <f ca="1">IFERROR(__xludf.DUMMYFUNCTION("GoogleFinance(B19,""changepct"")/100"),0.0043)</f>
        <v>4.3E-3</v>
      </c>
      <c r="E19" s="11">
        <f ca="1">IFERROR(__xludf.DUMMYFUNCTION("index(GOOGLEFINANCE(B19,""price"",""2021/01/04""),2,2)"),124.69)</f>
        <v>124.69</v>
      </c>
      <c r="F19" s="7">
        <f t="shared" ca="1" si="1"/>
        <v>-0.20587055898628603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4" t="s">
        <v>31</v>
      </c>
      <c r="B20" s="4" t="s">
        <v>32</v>
      </c>
      <c r="C20" s="11">
        <f ca="1">IFERROR(__xludf.DUMMYFUNCTION("GOOGLEFINANCE(B20, ""price"")"),9.18)</f>
        <v>9.18</v>
      </c>
      <c r="D20" s="7">
        <f ca="1">IFERROR(__xludf.DUMMYFUNCTION("GoogleFinance(B20,""changepct"")/100"),-0.025)</f>
        <v>-2.5000000000000001E-2</v>
      </c>
      <c r="E20" s="11">
        <f ca="1">IFERROR(__xludf.DUMMYFUNCTION("index(GOOGLEFINANCE(B20,""price"",""2021/01/04""),2,2)"),10.2)</f>
        <v>10.199999999999999</v>
      </c>
      <c r="F20" s="7">
        <f t="shared" ca="1" si="1"/>
        <v>-9.9999999999999978E-2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4" t="s">
        <v>33</v>
      </c>
      <c r="B21" s="13" t="s">
        <v>34</v>
      </c>
      <c r="C21" s="11">
        <f ca="1">IFERROR(__xludf.DUMMYFUNCTION("GOOGLEFINANCE(B21, ""price"")"),53.08)</f>
        <v>53.08</v>
      </c>
      <c r="D21" s="7">
        <f ca="1">IFERROR(__xludf.DUMMYFUNCTION("GoogleFinance(B21,""changepct"")/100"),-0.0126)</f>
        <v>-1.26E-2</v>
      </c>
      <c r="E21" s="11">
        <f ca="1">IFERROR(__xludf.DUMMYFUNCTION("index(GOOGLEFINANCE(B21,""price"",""2021/01/04""),2,2)"),35.53)</f>
        <v>35.53</v>
      </c>
      <c r="F21" s="7">
        <f t="shared" ca="1" si="1"/>
        <v>0.49394877568252182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I23" s="14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I24" s="14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I25" s="4"/>
      <c r="J25" s="12"/>
      <c r="K25" s="3"/>
      <c r="L25" s="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I26" s="4"/>
      <c r="J26" s="12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I27" s="4"/>
      <c r="J27" s="12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I28" s="4"/>
      <c r="J28" s="12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I29" s="4"/>
      <c r="J29" s="12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I30" s="4"/>
      <c r="J30" s="12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H31" s="7"/>
      <c r="I31" s="4"/>
      <c r="J31" s="12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C32" s="3"/>
      <c r="D32" s="3"/>
      <c r="E32" s="3"/>
      <c r="F32" s="3"/>
      <c r="G32" s="3"/>
      <c r="H32" s="3"/>
      <c r="I32" s="3"/>
      <c r="J32" s="3"/>
      <c r="K32" s="7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>
      <c r="A33" s="1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4"/>
      <c r="B34" s="16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4"/>
      <c r="B35" s="4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9"/>
      <c r="B36" s="9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>
      <c r="A37" s="4"/>
      <c r="B37" s="4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>
      <c r="A38" s="4"/>
      <c r="B38" s="4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>
      <c r="A39" s="9"/>
      <c r="B39" s="9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>
      <c r="A42" s="3"/>
      <c r="B42" s="1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>
      <c r="A50" s="3"/>
      <c r="B50" s="4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>
      <c r="A52" s="4"/>
      <c r="B52" s="4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</sheetData>
  <conditionalFormatting sqref="D10:D21 F10:F21">
    <cfRule type="cellIs" dxfId="7" priority="1" operator="greaterThan">
      <formula>0</formula>
    </cfRule>
  </conditionalFormatting>
  <conditionalFormatting sqref="D10:D21 F10:F21">
    <cfRule type="cellIs" dxfId="6" priority="2" operator="lessThan">
      <formula>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71"/>
  <sheetViews>
    <sheetView workbookViewId="0">
      <selection activeCell="G10" sqref="G10"/>
    </sheetView>
  </sheetViews>
  <sheetFormatPr defaultColWidth="14.42578125" defaultRowHeight="15.75" customHeight="1"/>
  <cols>
    <col min="1" max="1" width="27.7109375" customWidth="1"/>
  </cols>
  <sheetData>
    <row r="1" spans="1:5" ht="12.75">
      <c r="B1" s="18" t="s">
        <v>35</v>
      </c>
      <c r="C1" s="18" t="s">
        <v>36</v>
      </c>
      <c r="D1" s="18" t="s">
        <v>37</v>
      </c>
      <c r="E1" s="18" t="s">
        <v>38</v>
      </c>
    </row>
    <row r="2" spans="1:5" ht="15.75" customHeight="1">
      <c r="A2" s="18" t="s">
        <v>262</v>
      </c>
      <c r="B2" s="19">
        <v>0.2142</v>
      </c>
      <c r="C2" s="19">
        <v>0.33329999999999999</v>
      </c>
      <c r="D2" s="19">
        <v>1.3237000000000001</v>
      </c>
      <c r="E2" s="19">
        <v>2.8494999999999999</v>
      </c>
    </row>
    <row r="3" spans="1:5" ht="15.75" customHeight="1">
      <c r="A3" s="18" t="s">
        <v>14</v>
      </c>
      <c r="B3" s="19">
        <v>0.15920000000000001</v>
      </c>
      <c r="C3" s="19">
        <v>0.25119999999999998</v>
      </c>
      <c r="D3" s="19">
        <v>0.56659999999999999</v>
      </c>
      <c r="E3" s="19">
        <v>1.1749000000000001</v>
      </c>
    </row>
    <row r="23" spans="1:15" ht="12.75">
      <c r="B23" s="13" t="s">
        <v>35</v>
      </c>
      <c r="C23" s="13" t="s">
        <v>36</v>
      </c>
      <c r="D23" s="13" t="s">
        <v>37</v>
      </c>
      <c r="E23" s="13" t="s">
        <v>38</v>
      </c>
    </row>
    <row r="24" spans="1:15" ht="12.75">
      <c r="A24" s="13" t="s">
        <v>261</v>
      </c>
      <c r="B24" s="19">
        <v>0.21560000000000001</v>
      </c>
      <c r="C24" s="19">
        <v>0.28899999999999998</v>
      </c>
      <c r="D24" s="19">
        <v>0.93379999999999996</v>
      </c>
      <c r="E24" s="19">
        <v>1.3462000000000001</v>
      </c>
    </row>
    <row r="25" spans="1:15" ht="12.75">
      <c r="A25" s="13" t="s">
        <v>39</v>
      </c>
      <c r="B25" s="19">
        <v>4.4900000000000002E-2</v>
      </c>
      <c r="C25" s="19">
        <v>7.4300000000000005E-2</v>
      </c>
      <c r="D25" s="19">
        <v>0.33050000000000002</v>
      </c>
      <c r="E25" s="19">
        <v>0.54300000000000004</v>
      </c>
    </row>
    <row r="26" spans="1:15" ht="15.75" customHeight="1">
      <c r="B26" s="124"/>
      <c r="C26" s="124"/>
      <c r="D26" s="124"/>
      <c r="E26" s="124"/>
    </row>
    <row r="32" spans="1:15" ht="12.75">
      <c r="J32" s="20"/>
      <c r="K32" s="21"/>
      <c r="L32" s="22"/>
      <c r="M32" s="22"/>
      <c r="N32" s="22"/>
      <c r="O32" s="22"/>
    </row>
    <row r="33" spans="1:15" ht="12.75">
      <c r="J33" s="127"/>
      <c r="K33" s="126"/>
      <c r="L33" s="24"/>
      <c r="M33" s="24"/>
      <c r="N33" s="24"/>
      <c r="O33" s="24"/>
    </row>
    <row r="34" spans="1:15" ht="12.75">
      <c r="J34" s="127"/>
      <c r="K34" s="126"/>
      <c r="L34" s="24"/>
      <c r="M34" s="24"/>
      <c r="N34" s="24"/>
      <c r="O34" s="24"/>
    </row>
    <row r="35" spans="1:15" ht="12.75">
      <c r="J35" s="127"/>
      <c r="K35" s="126"/>
      <c r="L35" s="24"/>
      <c r="M35" s="24"/>
      <c r="N35" s="24"/>
      <c r="O35" s="24"/>
    </row>
    <row r="36" spans="1:15" ht="12.75">
      <c r="J36" s="127"/>
      <c r="K36" s="126"/>
      <c r="L36" s="24"/>
      <c r="M36" s="24"/>
      <c r="N36" s="24"/>
      <c r="O36" s="24"/>
    </row>
    <row r="37" spans="1:15" ht="12.75">
      <c r="J37" s="125"/>
      <c r="K37" s="126"/>
      <c r="L37" s="25"/>
      <c r="M37" s="25"/>
      <c r="N37" s="25"/>
      <c r="O37" s="25"/>
    </row>
    <row r="38" spans="1:15" ht="12.75">
      <c r="J38" s="125"/>
      <c r="K38" s="126"/>
      <c r="L38" s="25"/>
      <c r="M38" s="25"/>
      <c r="N38" s="25"/>
      <c r="O38" s="25"/>
    </row>
    <row r="46" spans="1:15" ht="12.75">
      <c r="B46" s="13" t="s">
        <v>35</v>
      </c>
      <c r="C46" s="13" t="s">
        <v>36</v>
      </c>
      <c r="D46" s="13" t="s">
        <v>37</v>
      </c>
      <c r="E46" s="13" t="s">
        <v>38</v>
      </c>
    </row>
    <row r="47" spans="1:15" ht="12.75">
      <c r="A47" s="13" t="s">
        <v>260</v>
      </c>
      <c r="B47" s="19">
        <v>9.6799999999999997E-2</v>
      </c>
      <c r="C47" s="19">
        <v>0.32500000000000001</v>
      </c>
      <c r="D47" s="19">
        <v>0.7409</v>
      </c>
      <c r="E47" s="19">
        <v>1.5375000000000001</v>
      </c>
    </row>
    <row r="48" spans="1:15" ht="12.75">
      <c r="A48" s="13" t="s">
        <v>13</v>
      </c>
      <c r="B48" s="19">
        <v>0.12377086578709605</v>
      </c>
      <c r="C48" s="19">
        <v>0.39851336905764062</v>
      </c>
      <c r="D48" s="19">
        <v>0.62516594010816595</v>
      </c>
      <c r="E48" s="19">
        <v>1.1880924857031794</v>
      </c>
    </row>
    <row r="64" spans="9:12">
      <c r="I64" s="26"/>
      <c r="J64" s="26"/>
      <c r="K64" s="26"/>
      <c r="L64" s="26"/>
    </row>
    <row r="70" spans="2:5" ht="12.75">
      <c r="B70" s="27"/>
      <c r="C70" s="27"/>
      <c r="D70" s="27"/>
      <c r="E70" s="27"/>
    </row>
    <row r="71" spans="2:5" ht="12.75">
      <c r="B71" s="19"/>
      <c r="C71" s="19"/>
      <c r="D71" s="19"/>
      <c r="E71" s="19"/>
    </row>
  </sheetData>
  <mergeCells count="6">
    <mergeCell ref="J38:K38"/>
    <mergeCell ref="J33:K33"/>
    <mergeCell ref="J34:K34"/>
    <mergeCell ref="J35:K35"/>
    <mergeCell ref="J36:K36"/>
    <mergeCell ref="J37:K37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N3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.75" customHeight="1"/>
  <cols>
    <col min="1" max="1" width="23.140625" customWidth="1"/>
  </cols>
  <sheetData>
    <row r="1" spans="1:14" ht="15.75" customHeight="1">
      <c r="A1" s="28" t="s">
        <v>41</v>
      </c>
      <c r="B1" s="28">
        <v>44225</v>
      </c>
      <c r="C1" s="29">
        <v>44253</v>
      </c>
      <c r="D1" s="28">
        <v>44260</v>
      </c>
      <c r="E1" s="29">
        <f t="shared" ref="E1:F1" si="0">D1+7</f>
        <v>44267</v>
      </c>
      <c r="F1" s="29">
        <f t="shared" si="0"/>
        <v>44274</v>
      </c>
      <c r="G1" s="29">
        <v>44288</v>
      </c>
      <c r="H1" s="29">
        <f t="shared" ref="H1:M1" si="1">G1+7</f>
        <v>44295</v>
      </c>
      <c r="I1" s="29">
        <f t="shared" si="1"/>
        <v>44302</v>
      </c>
      <c r="J1" s="29">
        <f t="shared" si="1"/>
        <v>44309</v>
      </c>
      <c r="K1" s="29">
        <f t="shared" si="1"/>
        <v>44316</v>
      </c>
      <c r="L1" s="29">
        <f t="shared" si="1"/>
        <v>44323</v>
      </c>
      <c r="M1" s="29">
        <f t="shared" si="1"/>
        <v>44330</v>
      </c>
      <c r="N1" s="28">
        <v>44337</v>
      </c>
    </row>
    <row r="2" spans="1:14" ht="12.75">
      <c r="A2" s="30" t="s">
        <v>2</v>
      </c>
      <c r="F2" s="31"/>
      <c r="H2" s="31">
        <v>0.17158553267251664</v>
      </c>
      <c r="I2" s="31">
        <v>0.18853847001543364</v>
      </c>
      <c r="J2" s="32">
        <v>0.18982894885258375</v>
      </c>
      <c r="K2" s="32">
        <v>0.19718997849967726</v>
      </c>
      <c r="L2" s="32">
        <v>0.21931253228446349</v>
      </c>
      <c r="M2" s="32">
        <v>0.19874501445385959</v>
      </c>
      <c r="N2" s="32">
        <v>0.2013356231582189</v>
      </c>
    </row>
    <row r="3" spans="1:14" ht="12.75">
      <c r="A3" s="30" t="s">
        <v>3</v>
      </c>
      <c r="F3" s="31"/>
      <c r="H3" s="31">
        <v>9.9222125469738062E-2</v>
      </c>
      <c r="I3" s="31">
        <v>0.11248096312349189</v>
      </c>
      <c r="J3" s="32">
        <v>0.11872626521040602</v>
      </c>
      <c r="K3" s="32">
        <v>0.11419550332298586</v>
      </c>
      <c r="L3" s="32">
        <v>0.12612119276227585</v>
      </c>
      <c r="M3" s="32">
        <v>0.11103470125790736</v>
      </c>
      <c r="N3" s="32">
        <v>0.10918674333902854</v>
      </c>
    </row>
    <row r="4" spans="1:14" ht="12.75">
      <c r="A4" s="30" t="s">
        <v>5</v>
      </c>
      <c r="C4" s="31">
        <v>1.0155697321815677E-2</v>
      </c>
      <c r="D4" s="31">
        <v>1.6520348811449703E-2</v>
      </c>
      <c r="E4" s="31">
        <v>3.8512708770172224E-2</v>
      </c>
      <c r="F4" s="31">
        <v>3.1633101192491686E-2</v>
      </c>
      <c r="G4" s="31">
        <v>6.3717092446463119E-2</v>
      </c>
      <c r="H4" s="31">
        <v>0.10342593810124463</v>
      </c>
      <c r="I4" s="31"/>
      <c r="J4" s="31">
        <v>0.11341350905103274</v>
      </c>
      <c r="K4" s="31">
        <v>0.11651070214767457</v>
      </c>
      <c r="L4" s="31">
        <v>0.11903041943070913</v>
      </c>
      <c r="M4" s="31">
        <v>0.1026617176615872</v>
      </c>
      <c r="N4" s="31">
        <v>0.11859960683085864</v>
      </c>
    </row>
    <row r="5" spans="1:14" ht="12.75">
      <c r="A5" s="30" t="s">
        <v>6</v>
      </c>
      <c r="C5" s="31">
        <v>7.056532137665468E-2</v>
      </c>
      <c r="D5" s="31">
        <v>-3.799682389057752E-2</v>
      </c>
      <c r="E5" s="31">
        <v>1.7106290025866236E-2</v>
      </c>
      <c r="F5" s="31">
        <v>-3.0266103226407937E-2</v>
      </c>
      <c r="G5" s="31">
        <v>-1.7077232871451409E-2</v>
      </c>
      <c r="H5" s="31">
        <v>2.8414749827195107E-2</v>
      </c>
      <c r="I5" s="31"/>
      <c r="J5" s="31">
        <v>4.1751830823838258E-2</v>
      </c>
      <c r="K5" s="31">
        <v>1.3871898499447571E-2</v>
      </c>
      <c r="L5" s="31">
        <v>-9.1884478936160557E-2</v>
      </c>
      <c r="M5" s="31">
        <v>-0.11298734128703689</v>
      </c>
      <c r="N5" s="31">
        <v>-5.8248301425580212E-2</v>
      </c>
    </row>
    <row r="6" spans="1:14" ht="12.75">
      <c r="A6" s="30" t="s">
        <v>14</v>
      </c>
      <c r="B6" s="33"/>
      <c r="C6" s="34">
        <v>1.7299999999999999E-2</v>
      </c>
      <c r="D6" s="34">
        <v>2.6100000000000002E-2</v>
      </c>
      <c r="E6" s="34">
        <v>5.3999999999999999E-2</v>
      </c>
      <c r="F6" s="34">
        <v>4.5100000000000001E-2</v>
      </c>
      <c r="G6" s="34">
        <v>7.4999999999999997E-2</v>
      </c>
      <c r="H6" s="34">
        <v>0.1042</v>
      </c>
      <c r="I6" s="34">
        <v>0.1197</v>
      </c>
      <c r="J6" s="34">
        <v>0.1183</v>
      </c>
      <c r="K6" s="32">
        <v>0.1198</v>
      </c>
      <c r="L6" s="32">
        <v>0.13270000000000001</v>
      </c>
      <c r="M6" s="32">
        <v>0.1179</v>
      </c>
      <c r="N6" s="31">
        <v>0.13715122427397697</v>
      </c>
    </row>
    <row r="10" spans="1:14" ht="12.75">
      <c r="A10" s="30"/>
      <c r="B10" s="30"/>
      <c r="C10" s="30"/>
    </row>
    <row r="11" spans="1:14" ht="12.75">
      <c r="A11" s="30"/>
      <c r="B11" s="30"/>
      <c r="C11" s="30"/>
    </row>
    <row r="12" spans="1:14" ht="12.75">
      <c r="A12" s="30"/>
      <c r="B12" s="30"/>
      <c r="C12" s="30"/>
    </row>
    <row r="13" spans="1:14" ht="12.75">
      <c r="A13" s="30"/>
      <c r="B13" s="30"/>
      <c r="C13" s="30"/>
    </row>
    <row r="28" spans="1:6" ht="12.75">
      <c r="B28" s="13" t="s">
        <v>12</v>
      </c>
      <c r="C28" s="13" t="s">
        <v>42</v>
      </c>
      <c r="D28" s="13" t="s">
        <v>43</v>
      </c>
      <c r="E28" s="13" t="s">
        <v>44</v>
      </c>
    </row>
    <row r="29" spans="1:6" ht="12.75">
      <c r="A29" s="30" t="s">
        <v>14</v>
      </c>
      <c r="B29" s="27">
        <v>0.126</v>
      </c>
      <c r="C29" s="27">
        <v>0.39600000000000002</v>
      </c>
      <c r="D29" s="27">
        <v>0.628</v>
      </c>
      <c r="E29" s="27">
        <v>1.1950000000000001</v>
      </c>
      <c r="F29" s="27"/>
    </row>
    <row r="30" spans="1:6" ht="12.75">
      <c r="A30" s="30" t="s">
        <v>45</v>
      </c>
      <c r="B30" s="27">
        <v>5.3999999999999999E-2</v>
      </c>
      <c r="C30" s="27">
        <v>0.2</v>
      </c>
      <c r="D30" s="27">
        <v>0.35</v>
      </c>
      <c r="E30" s="27">
        <v>0.57499999999999996</v>
      </c>
      <c r="F30" s="27"/>
    </row>
    <row r="31" spans="1:6" ht="12.75">
      <c r="A31" s="30" t="s">
        <v>2</v>
      </c>
      <c r="B31" s="27"/>
      <c r="C31" s="27"/>
      <c r="D31" s="27"/>
      <c r="E31" s="27"/>
      <c r="F31" s="27"/>
    </row>
    <row r="32" spans="1:6" ht="12.75">
      <c r="A32" s="30" t="s">
        <v>3</v>
      </c>
      <c r="B32" s="27">
        <v>0.113</v>
      </c>
      <c r="C32" s="27"/>
      <c r="D32" s="27"/>
      <c r="E32" s="27"/>
      <c r="F32" s="27"/>
    </row>
    <row r="33" spans="1:6" ht="12.75">
      <c r="A33" s="30" t="s">
        <v>5</v>
      </c>
      <c r="B33" s="27"/>
      <c r="C33" s="27"/>
      <c r="D33" s="27"/>
      <c r="E33" s="27"/>
      <c r="F33" s="27"/>
    </row>
    <row r="34" spans="1:6" ht="12.75">
      <c r="A34" s="30" t="s">
        <v>6</v>
      </c>
      <c r="B34" s="27"/>
      <c r="C34" s="27"/>
      <c r="D34" s="27"/>
      <c r="E34" s="27"/>
      <c r="F34" s="27"/>
    </row>
    <row r="36" spans="1:6" ht="12.75">
      <c r="B36" s="13" t="s">
        <v>12</v>
      </c>
      <c r="C36" s="13" t="s">
        <v>46</v>
      </c>
      <c r="D36" s="13" t="s">
        <v>47</v>
      </c>
      <c r="E36" s="13" t="s">
        <v>48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outlinePr summaryBelow="0" summaryRight="0"/>
  </sheetPr>
  <dimension ref="A1:Z1011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C7" sqref="C7"/>
    </sheetView>
  </sheetViews>
  <sheetFormatPr defaultColWidth="14.42578125" defaultRowHeight="15.75" customHeight="1"/>
  <cols>
    <col min="1" max="1" width="17.28515625" customWidth="1"/>
    <col min="2" max="2" width="31.5703125" customWidth="1"/>
    <col min="5" max="5" width="5" customWidth="1"/>
    <col min="6" max="6" width="5.140625" customWidth="1"/>
    <col min="10" max="10" width="15.85546875" customWidth="1"/>
    <col min="11" max="11" width="18" customWidth="1"/>
    <col min="12" max="12" width="6.5703125" customWidth="1"/>
  </cols>
  <sheetData>
    <row r="1" spans="1:26">
      <c r="A1" s="35"/>
      <c r="B1" s="35"/>
      <c r="C1" s="20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spans="1:26">
      <c r="A2" s="36" t="s">
        <v>49</v>
      </c>
      <c r="B2" s="37"/>
      <c r="C2" s="38">
        <v>10000</v>
      </c>
      <c r="D2" s="37"/>
      <c r="E2" s="35"/>
      <c r="F2" s="35"/>
      <c r="H2" s="36" t="s">
        <v>12</v>
      </c>
      <c r="I2" s="36" t="s">
        <v>42</v>
      </c>
      <c r="J2" s="36" t="s">
        <v>43</v>
      </c>
      <c r="K2" s="36" t="s">
        <v>44</v>
      </c>
      <c r="L2" s="37"/>
      <c r="M2" s="37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>
      <c r="A3" s="36" t="s">
        <v>50</v>
      </c>
      <c r="B3" s="37"/>
      <c r="C3" s="38">
        <f ca="1">K31</f>
        <v>12783.482221653447</v>
      </c>
      <c r="E3" s="35"/>
      <c r="F3" s="35"/>
      <c r="G3" s="36" t="s">
        <v>2</v>
      </c>
      <c r="H3" s="36"/>
      <c r="I3" s="36"/>
      <c r="J3" s="36"/>
      <c r="K3" s="36"/>
      <c r="L3" s="37"/>
      <c r="M3" s="37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 spans="1:26">
      <c r="A4" s="36" t="s">
        <v>51</v>
      </c>
      <c r="C4" s="39">
        <f ca="1">(C3-C2)/C2</f>
        <v>0.27834822216534466</v>
      </c>
      <c r="D4" s="40"/>
      <c r="E4" s="35"/>
      <c r="F4" s="35"/>
      <c r="G4" s="36" t="s">
        <v>52</v>
      </c>
      <c r="H4" s="40"/>
      <c r="I4" s="40"/>
      <c r="J4" s="40"/>
      <c r="K4" s="40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>
      <c r="B5" s="35"/>
      <c r="C5" s="41">
        <f>K38</f>
        <v>0</v>
      </c>
      <c r="D5" s="40"/>
      <c r="E5" s="35"/>
      <c r="F5" s="35"/>
      <c r="G5" s="40"/>
      <c r="H5" s="40"/>
      <c r="I5" s="40"/>
      <c r="J5" s="40"/>
      <c r="K5" s="40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</row>
    <row r="6" spans="1:26">
      <c r="A6" s="42" t="s">
        <v>9</v>
      </c>
      <c r="B6" s="42" t="s">
        <v>53</v>
      </c>
      <c r="C6" s="42" t="s">
        <v>54</v>
      </c>
      <c r="D6" s="42" t="s">
        <v>55</v>
      </c>
      <c r="E6" s="42" t="s">
        <v>56</v>
      </c>
      <c r="F6" s="42" t="s">
        <v>57</v>
      </c>
      <c r="G6" s="42" t="s">
        <v>58</v>
      </c>
      <c r="H6" s="42" t="s">
        <v>59</v>
      </c>
      <c r="I6" s="42" t="s">
        <v>60</v>
      </c>
      <c r="J6" s="42" t="s">
        <v>61</v>
      </c>
      <c r="K6" s="42" t="s">
        <v>62</v>
      </c>
      <c r="L6" s="37"/>
      <c r="M6" s="42"/>
      <c r="N6" s="40"/>
      <c r="O6" s="40"/>
      <c r="P6" s="40"/>
      <c r="Q6" s="40"/>
      <c r="R6" s="40"/>
      <c r="S6" s="43"/>
      <c r="T6" s="43"/>
      <c r="U6" s="43"/>
      <c r="V6" s="40"/>
      <c r="W6" s="40"/>
      <c r="X6" s="40"/>
      <c r="Y6" s="40"/>
      <c r="Z6" s="40"/>
    </row>
    <row r="7" spans="1:26">
      <c r="A7" s="44" t="s">
        <v>63</v>
      </c>
      <c r="B7" s="45" t="str">
        <f ca="1">IFERROR(__xludf.DUMMYFUNCTION("GOOGLEFINANCE(A7,""name"")"),"Invesco S and P 500 GARP ETF")</f>
        <v>Invesco S and P 500 GARP ETF</v>
      </c>
      <c r="C7" s="20">
        <f ca="1">IFERROR(__xludf.DUMMYFUNCTION("GOOGLEFINANCE(A7, ""price"")"),92.02)</f>
        <v>92.02</v>
      </c>
      <c r="D7" s="46">
        <f ca="1">IFERROR(__xludf.DUMMYFUNCTION("GoogleFinance(A7,""changepct"")/100"),0.0131)</f>
        <v>1.3100000000000001E-2</v>
      </c>
      <c r="E7" s="47">
        <f t="shared" ref="E7:E10" ca="1" si="0">(I7+K7)/$C$3</f>
        <v>0.25205321535958736</v>
      </c>
      <c r="F7" s="47">
        <v>0.25</v>
      </c>
      <c r="G7" s="20">
        <v>85.74</v>
      </c>
      <c r="H7" s="48">
        <v>35.015407492500252</v>
      </c>
      <c r="I7" s="49">
        <f t="shared" ref="I7:I10" si="1">H7*G7</f>
        <v>3002.2210384069713</v>
      </c>
      <c r="J7" s="46">
        <f t="shared" ref="J7:J10" ca="1" si="2">C7/G7-1</f>
        <v>7.3244693258688987E-2</v>
      </c>
      <c r="K7" s="48">
        <f t="shared" ref="K7:K10" ca="1" si="3">I7*J7</f>
        <v>219.89675905290133</v>
      </c>
      <c r="L7" s="35"/>
      <c r="M7" s="50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</row>
    <row r="8" spans="1:26">
      <c r="A8" s="44" t="s">
        <v>64</v>
      </c>
      <c r="B8" s="45" t="str">
        <f ca="1">IFERROR(__xludf.DUMMYFUNCTION("GOOGLEFINANCE(A8,""name"")"),"Vanguard Consumer Discretionary Index Fund ETF")</f>
        <v>Vanguard Consumer Discretionary Index Fund ETF</v>
      </c>
      <c r="C8" s="20">
        <f ca="1">IFERROR(__xludf.DUMMYFUNCTION("GOOGLEFINANCE(A8, ""price"")"),340.15)</f>
        <v>340.15</v>
      </c>
      <c r="D8" s="46">
        <f ca="1">IFERROR(__xludf.DUMMYFUNCTION("GoogleFinance(A8,""changepct"")/100"),0.0169)</f>
        <v>1.6899999999999998E-2</v>
      </c>
      <c r="E8" s="47">
        <f t="shared" ca="1" si="0"/>
        <v>0.25501920517571253</v>
      </c>
      <c r="F8" s="47">
        <v>0.25</v>
      </c>
      <c r="G8" s="20">
        <v>313.25</v>
      </c>
      <c r="H8" s="48">
        <v>9.5841054697748476</v>
      </c>
      <c r="I8" s="49">
        <f t="shared" si="1"/>
        <v>3002.2210384069708</v>
      </c>
      <c r="J8" s="46">
        <f t="shared" ca="1" si="2"/>
        <v>8.5873902633679E-2</v>
      </c>
      <c r="K8" s="48">
        <f t="shared" ca="1" si="3"/>
        <v>257.81243713694289</v>
      </c>
      <c r="L8" s="35"/>
      <c r="M8" s="50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</row>
    <row r="9" spans="1:26">
      <c r="A9" s="44" t="s">
        <v>65</v>
      </c>
      <c r="B9" s="45" t="str">
        <f ca="1">IFERROR(__xludf.DUMMYFUNCTION("GOOGLEFINANCE(A9,""name"")"),"Vanguard Financials Index Fund ETF")</f>
        <v>Vanguard Financials Index Fund ETF</v>
      </c>
      <c r="C9" s="20">
        <f ca="1">IFERROR(__xludf.DUMMYFUNCTION("GOOGLEFINANCE(A9, ""price"")"),96.06)</f>
        <v>96.06</v>
      </c>
      <c r="D9" s="46">
        <f ca="1">IFERROR(__xludf.DUMMYFUNCTION("GoogleFinance(A9,""changepct"")/100"),0.0302)</f>
        <v>3.0200000000000001E-2</v>
      </c>
      <c r="E9" s="47">
        <f t="shared" ca="1" si="0"/>
        <v>0.24999826109274473</v>
      </c>
      <c r="F9" s="47">
        <v>0.25</v>
      </c>
      <c r="G9" s="20">
        <v>90.24</v>
      </c>
      <c r="H9" s="48">
        <v>33.269293422063072</v>
      </c>
      <c r="I9" s="49">
        <f t="shared" si="1"/>
        <v>3002.2210384069713</v>
      </c>
      <c r="J9" s="46">
        <f t="shared" ca="1" si="2"/>
        <v>6.4494680851064023E-2</v>
      </c>
      <c r="K9" s="48">
        <f t="shared" ca="1" si="3"/>
        <v>193.62728771640764</v>
      </c>
      <c r="L9" s="35"/>
      <c r="M9" s="50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</row>
    <row r="10" spans="1:26">
      <c r="A10" s="44" t="s">
        <v>66</v>
      </c>
      <c r="B10" s="45" t="str">
        <f ca="1">IFERROR(__xludf.DUMMYFUNCTION("GOOGLEFINANCE(A10,""name"")"),"Vanguard Health Care Index Fund ETF")</f>
        <v>Vanguard Health Care Index Fund ETF</v>
      </c>
      <c r="C10" s="20">
        <f ca="1">IFERROR(__xludf.DUMMYFUNCTION("GOOGLEFINANCE(A10, ""price"")"),248.11)</f>
        <v>248.11</v>
      </c>
      <c r="D10" s="46">
        <f ca="1">IFERROR(__xludf.DUMMYFUNCTION("GoogleFinance(A10,""changepct"")/100"),0.0048)</f>
        <v>4.7999999999999996E-3</v>
      </c>
      <c r="E10" s="47">
        <f t="shared" ca="1" si="0"/>
        <v>0.24292931837195528</v>
      </c>
      <c r="F10" s="47">
        <v>0.25</v>
      </c>
      <c r="G10" s="20">
        <v>239.86</v>
      </c>
      <c r="H10" s="48">
        <v>12.516555650825362</v>
      </c>
      <c r="I10" s="49">
        <f t="shared" si="1"/>
        <v>3002.2210384069713</v>
      </c>
      <c r="J10" s="46">
        <f t="shared" ca="1" si="2"/>
        <v>3.4395063787209246E-2</v>
      </c>
      <c r="K10" s="48">
        <f t="shared" ca="1" si="3"/>
        <v>103.26158411930936</v>
      </c>
      <c r="L10" s="35"/>
      <c r="M10" s="50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</row>
    <row r="11" spans="1:26">
      <c r="A11" s="44"/>
      <c r="B11" s="45"/>
      <c r="C11" s="20"/>
      <c r="D11" s="46"/>
      <c r="E11" s="47"/>
      <c r="F11" s="47"/>
      <c r="G11" s="20"/>
      <c r="H11" s="48"/>
      <c r="I11" s="49"/>
      <c r="J11" s="46"/>
      <c r="K11" s="48"/>
      <c r="L11" s="35"/>
      <c r="M11" s="50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</row>
    <row r="12" spans="1:26">
      <c r="A12" s="44"/>
      <c r="B12" s="45"/>
      <c r="C12" s="20"/>
      <c r="D12" s="46"/>
      <c r="E12" s="47"/>
      <c r="F12" s="47"/>
      <c r="G12" s="20"/>
      <c r="H12" s="48"/>
      <c r="I12" s="49"/>
      <c r="J12" s="46"/>
      <c r="K12" s="48"/>
      <c r="L12" s="35"/>
      <c r="M12" s="50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</row>
    <row r="13" spans="1:26">
      <c r="A13" s="44"/>
      <c r="B13" s="45"/>
      <c r="C13" s="20"/>
      <c r="D13" s="46"/>
      <c r="E13" s="47"/>
      <c r="F13" s="47"/>
      <c r="G13" s="20"/>
      <c r="H13" s="48"/>
      <c r="I13" s="49"/>
      <c r="J13" s="46"/>
      <c r="K13" s="48"/>
      <c r="L13" s="35"/>
      <c r="M13" s="50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</row>
    <row r="14" spans="1:26">
      <c r="A14" s="44"/>
      <c r="B14" s="45"/>
      <c r="C14" s="20"/>
      <c r="D14" s="46"/>
      <c r="E14" s="47"/>
      <c r="F14" s="47"/>
      <c r="G14" s="20"/>
      <c r="H14" s="48"/>
      <c r="I14" s="49"/>
      <c r="J14" s="46"/>
      <c r="K14" s="48"/>
      <c r="L14" s="35"/>
      <c r="M14" s="50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</row>
    <row r="15" spans="1:26">
      <c r="A15" s="44"/>
      <c r="B15" s="45"/>
      <c r="C15" s="20"/>
      <c r="D15" s="46"/>
      <c r="E15" s="47"/>
      <c r="F15" s="47"/>
      <c r="G15" s="20"/>
      <c r="H15" s="48"/>
      <c r="I15" s="49"/>
      <c r="J15" s="46"/>
      <c r="K15" s="48"/>
      <c r="L15" s="35"/>
      <c r="M15" s="50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</row>
    <row r="16" spans="1:26">
      <c r="A16" s="44"/>
      <c r="B16" s="45"/>
      <c r="C16" s="20"/>
      <c r="D16" s="46"/>
      <c r="E16" s="47"/>
      <c r="F16" s="47"/>
      <c r="G16" s="20"/>
      <c r="H16" s="48"/>
      <c r="I16" s="49"/>
      <c r="J16" s="46"/>
      <c r="K16" s="48"/>
      <c r="L16" s="35"/>
      <c r="M16" s="50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</row>
    <row r="17" spans="1:26">
      <c r="A17" s="44"/>
      <c r="B17" s="45"/>
      <c r="C17" s="20"/>
      <c r="D17" s="46"/>
      <c r="E17" s="47"/>
      <c r="F17" s="47"/>
      <c r="G17" s="20"/>
      <c r="H17" s="48"/>
      <c r="I17" s="49"/>
      <c r="J17" s="46"/>
      <c r="K17" s="48"/>
      <c r="L17" s="35"/>
      <c r="M17" s="50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</row>
    <row r="18" spans="1:26">
      <c r="A18" s="44"/>
      <c r="B18" s="45"/>
      <c r="C18" s="20"/>
      <c r="D18" s="46"/>
      <c r="E18" s="47"/>
      <c r="F18" s="47"/>
      <c r="G18" s="20"/>
      <c r="H18" s="48"/>
      <c r="I18" s="49"/>
      <c r="J18" s="46"/>
      <c r="K18" s="48"/>
      <c r="L18" s="35"/>
      <c r="M18" s="50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</row>
    <row r="19" spans="1:26">
      <c r="A19" s="44"/>
      <c r="B19" s="45"/>
      <c r="C19" s="20"/>
      <c r="D19" s="46"/>
      <c r="E19" s="47"/>
      <c r="F19" s="47"/>
      <c r="G19" s="20"/>
      <c r="H19" s="48"/>
      <c r="I19" s="49"/>
      <c r="J19" s="46"/>
      <c r="K19" s="48"/>
      <c r="L19" s="35"/>
      <c r="M19" s="50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</row>
    <row r="20" spans="1:26">
      <c r="A20" s="44"/>
      <c r="B20" s="45"/>
      <c r="C20" s="20"/>
      <c r="D20" s="46"/>
      <c r="E20" s="47"/>
      <c r="F20" s="47"/>
      <c r="G20" s="20"/>
      <c r="H20" s="48"/>
      <c r="I20" s="49"/>
      <c r="J20" s="46"/>
      <c r="K20" s="48"/>
      <c r="L20" s="35"/>
      <c r="M20" s="50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</row>
    <row r="21" spans="1:26">
      <c r="A21" s="44"/>
      <c r="B21" s="45"/>
      <c r="C21" s="20"/>
      <c r="D21" s="46"/>
      <c r="E21" s="47"/>
      <c r="F21" s="47"/>
      <c r="G21" s="20"/>
      <c r="H21" s="48"/>
      <c r="I21" s="49"/>
      <c r="J21" s="46"/>
      <c r="K21" s="48"/>
      <c r="L21" s="35"/>
      <c r="M21" s="50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</row>
    <row r="22" spans="1:26">
      <c r="A22" s="44"/>
      <c r="B22" s="45"/>
      <c r="C22" s="20"/>
      <c r="D22" s="46"/>
      <c r="E22" s="47"/>
      <c r="F22" s="47"/>
      <c r="G22" s="20"/>
      <c r="H22" s="48"/>
      <c r="I22" s="49"/>
      <c r="J22" s="46"/>
      <c r="K22" s="48"/>
      <c r="L22" s="35"/>
      <c r="M22" s="50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</row>
    <row r="23" spans="1:26">
      <c r="A23" s="44"/>
      <c r="B23" s="45"/>
      <c r="C23" s="20"/>
      <c r="D23" s="46"/>
      <c r="E23" s="47"/>
      <c r="F23" s="47"/>
      <c r="G23" s="20"/>
      <c r="H23" s="48"/>
      <c r="I23" s="49"/>
      <c r="J23" s="46"/>
      <c r="K23" s="48"/>
      <c r="L23" s="35"/>
      <c r="M23" s="50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</row>
    <row r="24" spans="1:26">
      <c r="A24" s="44"/>
      <c r="B24" s="45"/>
      <c r="C24" s="20"/>
      <c r="D24" s="46"/>
      <c r="E24" s="47"/>
      <c r="F24" s="47"/>
      <c r="G24" s="20"/>
      <c r="H24" s="48"/>
      <c r="I24" s="49"/>
      <c r="J24" s="46"/>
      <c r="K24" s="48"/>
      <c r="L24" s="35"/>
      <c r="M24" s="50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</row>
    <row r="25" spans="1:26">
      <c r="A25" s="44"/>
      <c r="B25" s="45"/>
      <c r="C25" s="20"/>
      <c r="D25" s="46"/>
      <c r="E25" s="47"/>
      <c r="F25" s="47"/>
      <c r="G25" s="20"/>
      <c r="H25" s="48"/>
      <c r="I25" s="49"/>
      <c r="J25" s="46"/>
      <c r="K25" s="48"/>
      <c r="L25" s="35"/>
      <c r="M25" s="50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</row>
    <row r="26" spans="1:26">
      <c r="A26" s="44"/>
      <c r="B26" s="45"/>
      <c r="C26" s="20"/>
      <c r="D26" s="46"/>
      <c r="E26" s="47"/>
      <c r="F26" s="47"/>
      <c r="G26" s="20"/>
      <c r="H26" s="48"/>
      <c r="I26" s="49"/>
      <c r="J26" s="46"/>
      <c r="K26" s="48"/>
      <c r="L26" s="35"/>
      <c r="M26" s="50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</row>
    <row r="27" spans="1:26">
      <c r="A27" s="52"/>
      <c r="B27" s="35"/>
      <c r="C27" s="20"/>
      <c r="D27" s="35"/>
      <c r="E27" s="47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</row>
    <row r="28" spans="1:26">
      <c r="A28" s="52"/>
      <c r="B28" s="35"/>
      <c r="C28" s="20"/>
      <c r="D28" s="35"/>
      <c r="E28" s="35"/>
      <c r="F28" s="35"/>
      <c r="G28" s="35"/>
      <c r="J28" s="53" t="s">
        <v>67</v>
      </c>
      <c r="K28" s="54">
        <f ca="1">SUM(K7:K26)</f>
        <v>774.59806802556113</v>
      </c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</row>
    <row r="29" spans="1:26">
      <c r="A29" s="35"/>
      <c r="B29" s="35"/>
      <c r="C29" s="35"/>
      <c r="D29" s="35"/>
      <c r="E29" s="35"/>
      <c r="F29" s="35"/>
      <c r="G29" s="35"/>
      <c r="J29" s="55" t="s">
        <v>68</v>
      </c>
      <c r="K29" s="56">
        <f ca="1">K28/C2</f>
        <v>7.7459806802556111E-2</v>
      </c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</row>
    <row r="30" spans="1:26">
      <c r="A30" s="52"/>
      <c r="B30" s="35"/>
      <c r="C30" s="20"/>
      <c r="D30" s="57"/>
      <c r="E30" s="35"/>
      <c r="F30" s="58"/>
      <c r="G30" s="20"/>
      <c r="J30" s="53" t="s">
        <v>69</v>
      </c>
      <c r="K30" s="59">
        <f>'Quant Rotation Ledger'!H30</f>
        <v>0</v>
      </c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</row>
    <row r="31" spans="1:26">
      <c r="D31" s="35"/>
      <c r="E31" s="35"/>
      <c r="F31" s="35"/>
      <c r="G31" s="40"/>
      <c r="J31" s="60" t="s">
        <v>70</v>
      </c>
      <c r="K31" s="61">
        <f ca="1">SUM(I7:I26)+SUM(K7:K26)+K30</f>
        <v>12783.482221653447</v>
      </c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</row>
    <row r="32" spans="1:26">
      <c r="D32" s="35"/>
      <c r="E32" s="35"/>
      <c r="F32" s="35"/>
      <c r="G32" s="40"/>
      <c r="J32" s="53" t="s">
        <v>71</v>
      </c>
      <c r="K32" s="62">
        <f ca="1">K30/K31</f>
        <v>0</v>
      </c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</row>
    <row r="33" spans="4:26">
      <c r="D33" s="35"/>
      <c r="E33" s="35"/>
      <c r="F33" s="35"/>
      <c r="G33" s="40"/>
      <c r="H33" s="40"/>
      <c r="I33" s="40"/>
      <c r="J33" s="60" t="s">
        <v>72</v>
      </c>
      <c r="K33" s="63">
        <f ca="1">SUM(E7:E26)</f>
        <v>0.99999999999999989</v>
      </c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</row>
    <row r="34" spans="4:26">
      <c r="D34" s="35"/>
      <c r="E34" s="35"/>
      <c r="F34" s="35"/>
      <c r="G34" s="40"/>
      <c r="H34" s="40"/>
      <c r="I34" s="40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</row>
    <row r="35" spans="4:26"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</row>
    <row r="36" spans="4:26">
      <c r="D36" s="64"/>
      <c r="E36" s="40"/>
      <c r="F36" s="40"/>
      <c r="G36" s="40"/>
      <c r="H36" s="48"/>
      <c r="I36" s="6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</row>
    <row r="37" spans="4:26">
      <c r="D37" s="64"/>
      <c r="E37" s="40"/>
      <c r="F37" s="40"/>
      <c r="G37" s="40"/>
      <c r="H37" s="48"/>
      <c r="I37" s="65"/>
      <c r="J37" s="66"/>
      <c r="K37" s="67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</row>
    <row r="38" spans="4:26">
      <c r="D38" s="64"/>
      <c r="E38" s="40"/>
      <c r="F38" s="40"/>
      <c r="G38" s="40"/>
      <c r="H38" s="48"/>
      <c r="I38" s="65"/>
      <c r="J38" s="66"/>
      <c r="K38" s="19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</row>
    <row r="39" spans="4:26">
      <c r="D39" s="64"/>
      <c r="E39" s="40"/>
      <c r="F39" s="40"/>
      <c r="G39" s="40"/>
      <c r="H39" s="48"/>
      <c r="I39" s="65"/>
      <c r="J39" s="19"/>
      <c r="K39" s="68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</row>
    <row r="40" spans="4:26">
      <c r="D40" s="64"/>
      <c r="E40" s="40"/>
      <c r="F40" s="40"/>
      <c r="G40" s="40"/>
      <c r="H40" s="48"/>
      <c r="I40" s="65"/>
      <c r="J40" s="19"/>
      <c r="K40" s="68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</row>
    <row r="41" spans="4:26">
      <c r="D41" s="64"/>
      <c r="E41" s="40"/>
      <c r="F41" s="40"/>
      <c r="G41" s="40"/>
      <c r="H41" s="48"/>
      <c r="I41" s="65"/>
      <c r="J41" s="19"/>
      <c r="K41" s="68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</row>
    <row r="42" spans="4:26">
      <c r="D42" s="64"/>
      <c r="E42" s="40"/>
      <c r="F42" s="40"/>
      <c r="G42" s="40"/>
      <c r="H42" s="48"/>
      <c r="I42" s="49"/>
      <c r="J42" s="46"/>
      <c r="K42" s="69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</row>
    <row r="43" spans="4:26">
      <c r="D43" s="64"/>
      <c r="E43" s="40"/>
      <c r="F43" s="40"/>
      <c r="G43" s="40"/>
      <c r="H43" s="48"/>
      <c r="I43" s="49"/>
      <c r="J43" s="46"/>
      <c r="K43" s="69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</row>
    <row r="44" spans="4:26">
      <c r="D44" s="64"/>
      <c r="E44" s="40"/>
      <c r="F44" s="40"/>
      <c r="G44" s="40"/>
      <c r="H44" s="48"/>
      <c r="I44" s="49"/>
      <c r="J44" s="46"/>
      <c r="K44" s="69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</row>
    <row r="45" spans="4:26">
      <c r="D45" s="64"/>
      <c r="E45" s="40"/>
      <c r="F45" s="40"/>
      <c r="G45" s="40"/>
      <c r="H45" s="48"/>
      <c r="I45" s="49"/>
      <c r="J45" s="46"/>
      <c r="K45" s="69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</row>
    <row r="46" spans="4:26">
      <c r="D46" s="64"/>
      <c r="E46" s="40"/>
      <c r="F46" s="40"/>
      <c r="G46" s="40"/>
      <c r="H46" s="48"/>
      <c r="I46" s="49"/>
      <c r="J46" s="46"/>
      <c r="K46" s="69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</row>
    <row r="47" spans="4:26">
      <c r="D47" s="64"/>
      <c r="E47" s="40"/>
      <c r="F47" s="40"/>
      <c r="G47" s="40"/>
      <c r="H47" s="48"/>
      <c r="I47" s="49"/>
      <c r="J47" s="46"/>
      <c r="K47" s="69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</row>
    <row r="48" spans="4:26">
      <c r="D48" s="64"/>
      <c r="E48" s="40"/>
      <c r="F48" s="40"/>
      <c r="G48" s="40"/>
      <c r="H48" s="48"/>
      <c r="I48" s="49"/>
      <c r="J48" s="46"/>
      <c r="K48" s="69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</row>
    <row r="49" spans="1:26">
      <c r="D49" s="64"/>
      <c r="E49" s="40"/>
      <c r="F49" s="40"/>
      <c r="G49" s="40"/>
      <c r="H49" s="48"/>
      <c r="I49" s="49"/>
      <c r="J49" s="46"/>
      <c r="K49" s="69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</row>
    <row r="50" spans="1:26">
      <c r="D50" s="64"/>
      <c r="E50" s="40"/>
      <c r="F50" s="40"/>
      <c r="G50" s="40"/>
      <c r="H50" s="48"/>
      <c r="I50" s="49"/>
      <c r="J50" s="46"/>
      <c r="K50" s="69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</row>
    <row r="51" spans="1:26">
      <c r="D51" s="64"/>
      <c r="E51" s="40"/>
      <c r="F51" s="40"/>
      <c r="G51" s="40"/>
      <c r="H51" s="48"/>
      <c r="I51" s="49"/>
      <c r="J51" s="46"/>
      <c r="K51" s="69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</row>
    <row r="52" spans="1:26">
      <c r="D52" s="64"/>
      <c r="E52" s="40"/>
      <c r="F52" s="40"/>
      <c r="G52" s="40"/>
      <c r="H52" s="48"/>
      <c r="I52" s="49"/>
      <c r="J52" s="46"/>
      <c r="K52" s="69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</row>
    <row r="53" spans="1:26">
      <c r="D53" s="64"/>
      <c r="E53" s="40"/>
      <c r="F53" s="40"/>
      <c r="G53" s="40"/>
      <c r="H53" s="48"/>
      <c r="I53" s="49"/>
      <c r="J53" s="46"/>
      <c r="K53" s="69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</row>
    <row r="54" spans="1:26">
      <c r="A54" s="35"/>
      <c r="B54" s="35"/>
      <c r="C54" s="35"/>
      <c r="D54" s="64"/>
      <c r="E54" s="40"/>
      <c r="F54" s="40"/>
      <c r="G54" s="40"/>
      <c r="H54" s="48"/>
      <c r="I54" s="49"/>
      <c r="J54" s="46"/>
      <c r="K54" s="69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</row>
    <row r="55" spans="1:26">
      <c r="A55" s="35"/>
      <c r="B55" s="35"/>
      <c r="C55" s="35"/>
      <c r="D55" s="64"/>
      <c r="E55" s="40"/>
      <c r="F55" s="35"/>
      <c r="G55" s="20"/>
      <c r="H55" s="48"/>
      <c r="I55" s="49"/>
      <c r="J55" s="46"/>
      <c r="K55" s="69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</row>
    <row r="56" spans="1:26">
      <c r="A56" s="35"/>
      <c r="B56" s="35"/>
      <c r="C56" s="35"/>
      <c r="D56" s="64"/>
      <c r="E56" s="40"/>
      <c r="F56" s="35"/>
      <c r="G56" s="20"/>
      <c r="H56" s="48"/>
      <c r="I56" s="49"/>
      <c r="J56" s="46"/>
      <c r="K56" s="69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</row>
    <row r="57" spans="1:26">
      <c r="A57" s="35"/>
      <c r="B57" s="35"/>
      <c r="C57" s="35"/>
      <c r="D57" s="64"/>
      <c r="E57" s="40"/>
      <c r="F57" s="35"/>
      <c r="G57" s="20"/>
      <c r="H57" s="48"/>
      <c r="I57" s="49"/>
      <c r="J57" s="46"/>
      <c r="K57" s="69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</row>
    <row r="58" spans="1:26">
      <c r="A58" s="35"/>
      <c r="B58" s="35"/>
      <c r="C58" s="35"/>
      <c r="D58" s="64"/>
      <c r="E58" s="40"/>
      <c r="F58" s="35"/>
      <c r="G58" s="20"/>
      <c r="H58" s="48"/>
      <c r="I58" s="49"/>
      <c r="J58" s="46"/>
      <c r="K58" s="69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</row>
    <row r="59" spans="1:26">
      <c r="A59" s="35"/>
      <c r="B59" s="35"/>
      <c r="C59" s="35"/>
      <c r="D59" s="64"/>
      <c r="E59" s="40"/>
      <c r="F59" s="35"/>
      <c r="G59" s="20"/>
      <c r="H59" s="48"/>
      <c r="I59" s="49"/>
      <c r="J59" s="46"/>
      <c r="K59" s="69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</row>
    <row r="60" spans="1:26">
      <c r="A60" s="35"/>
      <c r="B60" s="35"/>
      <c r="C60" s="35"/>
      <c r="D60" s="64"/>
      <c r="E60" s="40"/>
      <c r="F60" s="35"/>
      <c r="G60" s="20"/>
      <c r="H60" s="48"/>
      <c r="I60" s="49"/>
      <c r="J60" s="46"/>
      <c r="K60" s="69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</row>
    <row r="61" spans="1:26">
      <c r="A61" s="35"/>
      <c r="B61" s="35"/>
      <c r="C61" s="35"/>
      <c r="D61" s="64"/>
      <c r="E61" s="40"/>
      <c r="F61" s="35"/>
      <c r="G61" s="20"/>
      <c r="H61" s="48"/>
      <c r="I61" s="49"/>
      <c r="J61" s="46"/>
      <c r="K61" s="69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</row>
    <row r="62" spans="1:26">
      <c r="A62" s="35"/>
      <c r="B62" s="35"/>
      <c r="C62" s="35"/>
      <c r="D62" s="64"/>
      <c r="E62" s="40"/>
      <c r="F62" s="35"/>
      <c r="G62" s="20"/>
      <c r="H62" s="48"/>
      <c r="I62" s="49"/>
      <c r="J62" s="46"/>
      <c r="K62" s="69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</row>
    <row r="63" spans="1:26">
      <c r="A63" s="35"/>
      <c r="B63" s="35"/>
      <c r="C63" s="35"/>
      <c r="D63" s="64"/>
      <c r="E63" s="40"/>
      <c r="F63" s="35"/>
      <c r="G63" s="20"/>
      <c r="H63" s="48"/>
      <c r="I63" s="49"/>
      <c r="J63" s="46"/>
      <c r="K63" s="69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</row>
    <row r="64" spans="1:26">
      <c r="A64" s="35"/>
      <c r="B64" s="35"/>
      <c r="C64" s="35"/>
      <c r="D64" s="64"/>
      <c r="E64" s="40"/>
      <c r="F64" s="35"/>
      <c r="G64" s="20"/>
      <c r="H64" s="48"/>
      <c r="I64" s="49"/>
      <c r="J64" s="46"/>
      <c r="K64" s="69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</row>
    <row r="65" spans="1:26">
      <c r="A65" s="35"/>
      <c r="B65" s="35"/>
      <c r="C65" s="35"/>
      <c r="D65" s="64"/>
      <c r="E65" s="40"/>
      <c r="F65" s="35"/>
      <c r="G65" s="20"/>
      <c r="H65" s="48"/>
      <c r="I65" s="49"/>
      <c r="J65" s="46"/>
      <c r="K65" s="69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</row>
    <row r="66" spans="1:26">
      <c r="A66" s="35"/>
      <c r="B66" s="35"/>
      <c r="C66" s="35"/>
      <c r="D66" s="64"/>
      <c r="E66" s="40"/>
      <c r="F66" s="35"/>
      <c r="G66" s="20"/>
      <c r="H66" s="48"/>
      <c r="I66" s="49"/>
      <c r="J66" s="46"/>
      <c r="K66" s="69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</row>
    <row r="67" spans="1:26">
      <c r="A67" s="35"/>
      <c r="B67" s="35"/>
      <c r="C67" s="35"/>
      <c r="D67" s="64"/>
      <c r="E67" s="40"/>
      <c r="F67" s="35"/>
      <c r="G67" s="20"/>
      <c r="H67" s="48"/>
      <c r="I67" s="49"/>
      <c r="J67" s="46"/>
      <c r="K67" s="69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</row>
    <row r="68" spans="1:26">
      <c r="A68" s="35"/>
      <c r="B68" s="35"/>
      <c r="C68" s="35"/>
      <c r="D68" s="64"/>
      <c r="E68" s="40"/>
      <c r="F68" s="35"/>
      <c r="G68" s="20"/>
      <c r="H68" s="48"/>
      <c r="I68" s="49"/>
      <c r="J68" s="46"/>
      <c r="K68" s="69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</row>
    <row r="69" spans="1:26">
      <c r="A69" s="35"/>
      <c r="B69" s="35"/>
      <c r="C69" s="35"/>
      <c r="D69" s="64"/>
      <c r="E69" s="40"/>
      <c r="F69" s="35"/>
      <c r="G69" s="20"/>
      <c r="H69" s="48"/>
      <c r="I69" s="49"/>
      <c r="J69" s="46"/>
      <c r="K69" s="69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</row>
    <row r="70" spans="1:26">
      <c r="A70" s="35"/>
      <c r="B70" s="35"/>
      <c r="C70" s="35"/>
      <c r="D70" s="64"/>
      <c r="E70" s="40"/>
      <c r="F70" s="35"/>
      <c r="G70" s="20"/>
      <c r="H70" s="48"/>
      <c r="I70" s="49"/>
      <c r="J70" s="46"/>
      <c r="K70" s="69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</row>
    <row r="71" spans="1:26">
      <c r="A71" s="35"/>
      <c r="B71" s="35"/>
      <c r="C71" s="35"/>
      <c r="D71" s="64"/>
      <c r="E71" s="40"/>
      <c r="F71" s="35"/>
      <c r="G71" s="20"/>
      <c r="H71" s="48"/>
      <c r="I71" s="49"/>
      <c r="J71" s="46"/>
      <c r="K71" s="69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</row>
    <row r="72" spans="1:26">
      <c r="A72" s="35"/>
      <c r="B72" s="35"/>
      <c r="C72" s="35"/>
      <c r="D72" s="64"/>
      <c r="E72" s="40"/>
      <c r="F72" s="35"/>
      <c r="G72" s="20"/>
      <c r="H72" s="48"/>
      <c r="I72" s="49"/>
      <c r="J72" s="46"/>
      <c r="K72" s="69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</row>
    <row r="73" spans="1:26">
      <c r="A73" s="35"/>
      <c r="B73" s="35"/>
      <c r="C73" s="35"/>
      <c r="D73" s="64"/>
      <c r="E73" s="40"/>
      <c r="F73" s="35"/>
      <c r="G73" s="20"/>
      <c r="H73" s="48"/>
      <c r="I73" s="49"/>
      <c r="J73" s="46"/>
      <c r="K73" s="69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</row>
    <row r="74" spans="1:26">
      <c r="A74" s="35"/>
      <c r="B74" s="35"/>
      <c r="C74" s="35"/>
      <c r="D74" s="35"/>
      <c r="E74" s="35"/>
      <c r="F74" s="35"/>
      <c r="G74" s="35"/>
      <c r="H74" s="35"/>
      <c r="I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</row>
    <row r="75" spans="1:26">
      <c r="A75" s="35"/>
      <c r="B75" s="35"/>
      <c r="C75" s="35"/>
      <c r="D75" s="35"/>
      <c r="E75" s="35"/>
      <c r="F75" s="35"/>
      <c r="G75" s="35"/>
      <c r="H75" s="35"/>
      <c r="I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</row>
    <row r="76" spans="1:26">
      <c r="A76" s="35"/>
      <c r="B76" s="35"/>
      <c r="C76" s="35"/>
      <c r="D76" s="35"/>
      <c r="E76" s="35"/>
      <c r="F76" s="35"/>
      <c r="G76" s="35"/>
      <c r="H76" s="35"/>
      <c r="I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</row>
    <row r="77" spans="1:26">
      <c r="A77" s="35"/>
      <c r="B77" s="35"/>
      <c r="C77" s="35"/>
      <c r="D77" s="35"/>
      <c r="E77" s="35"/>
      <c r="F77" s="35"/>
      <c r="G77" s="35"/>
      <c r="H77" s="35"/>
      <c r="I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</row>
    <row r="78" spans="1:26">
      <c r="A78" s="35"/>
      <c r="B78" s="35"/>
      <c r="C78" s="35"/>
      <c r="D78" s="35"/>
      <c r="E78" s="35"/>
      <c r="F78" s="35"/>
      <c r="G78" s="35"/>
      <c r="H78" s="35"/>
      <c r="I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</row>
    <row r="79" spans="1:26">
      <c r="A79" s="35"/>
      <c r="B79" s="35"/>
      <c r="C79" s="35"/>
      <c r="D79" s="35"/>
      <c r="E79" s="35"/>
      <c r="F79" s="35"/>
      <c r="G79" s="35"/>
      <c r="H79" s="35"/>
      <c r="I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</row>
    <row r="80" spans="1:26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</row>
    <row r="81" spans="1:26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</row>
    <row r="82" spans="1:26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</row>
    <row r="83" spans="1:26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</row>
    <row r="84" spans="1:26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</row>
    <row r="85" spans="1:26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</row>
    <row r="86" spans="1:26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</row>
    <row r="87" spans="1:26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</row>
    <row r="88" spans="1:26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</row>
    <row r="89" spans="1:26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</row>
    <row r="90" spans="1:26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</row>
    <row r="91" spans="1:26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</row>
    <row r="92" spans="1:26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</row>
    <row r="93" spans="1:26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</row>
    <row r="94" spans="1:26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</row>
    <row r="95" spans="1:26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</row>
    <row r="96" spans="1:26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</row>
    <row r="97" spans="1:26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</row>
    <row r="98" spans="1:26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</row>
    <row r="99" spans="1:26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</row>
    <row r="100" spans="1:26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</row>
    <row r="101" spans="1:26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</row>
    <row r="102" spans="1:26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</row>
    <row r="103" spans="1:26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</row>
    <row r="104" spans="1:26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</row>
    <row r="105" spans="1:26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</row>
    <row r="106" spans="1:26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</row>
    <row r="107" spans="1:26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</row>
    <row r="108" spans="1:26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</row>
    <row r="109" spans="1:26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</row>
    <row r="110" spans="1:26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</row>
    <row r="111" spans="1:26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</row>
    <row r="112" spans="1:26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</row>
    <row r="113" spans="1:26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</row>
    <row r="114" spans="1:26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</row>
    <row r="115" spans="1:26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</row>
    <row r="116" spans="1:26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</row>
    <row r="117" spans="1:26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</row>
    <row r="118" spans="1:26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</row>
    <row r="119" spans="1:26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</row>
    <row r="120" spans="1:26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</row>
    <row r="121" spans="1:26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</row>
    <row r="122" spans="1:26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</row>
    <row r="123" spans="1:26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</row>
    <row r="124" spans="1:26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</row>
    <row r="125" spans="1:26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</row>
    <row r="126" spans="1:26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</row>
    <row r="127" spans="1:26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</row>
    <row r="128" spans="1:26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</row>
    <row r="129" spans="1:26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</row>
    <row r="130" spans="1:26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</row>
    <row r="131" spans="1:26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</row>
    <row r="132" spans="1:26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</row>
    <row r="133" spans="1:26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</row>
    <row r="134" spans="1:26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</row>
    <row r="135" spans="1:26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</row>
    <row r="136" spans="1:26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</row>
    <row r="137" spans="1:26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</row>
    <row r="138" spans="1:26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</row>
    <row r="139" spans="1:26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</row>
    <row r="140" spans="1:26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</row>
    <row r="141" spans="1:26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</row>
    <row r="142" spans="1:26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</row>
    <row r="143" spans="1:26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</row>
    <row r="144" spans="1:26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</row>
    <row r="145" spans="1:26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</row>
    <row r="146" spans="1:26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</row>
    <row r="147" spans="1:26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</row>
    <row r="148" spans="1:26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</row>
    <row r="149" spans="1:26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</row>
    <row r="150" spans="1:26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</row>
    <row r="151" spans="1:26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</row>
    <row r="152" spans="1:26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</row>
    <row r="153" spans="1:26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</row>
    <row r="154" spans="1:26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</row>
    <row r="155" spans="1:26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</row>
    <row r="156" spans="1:26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</row>
    <row r="157" spans="1:26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</row>
    <row r="158" spans="1:26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</row>
    <row r="159" spans="1:26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</row>
    <row r="160" spans="1:26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</row>
    <row r="161" spans="1:26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</row>
    <row r="162" spans="1:26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</row>
    <row r="163" spans="1:26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</row>
    <row r="164" spans="1:26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</row>
    <row r="165" spans="1:26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</row>
    <row r="166" spans="1:26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</row>
    <row r="167" spans="1:26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</row>
    <row r="168" spans="1:26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</row>
    <row r="169" spans="1:26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</row>
    <row r="170" spans="1:26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</row>
    <row r="171" spans="1:26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</row>
    <row r="172" spans="1:26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</row>
    <row r="173" spans="1:26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</row>
    <row r="174" spans="1:26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</row>
    <row r="175" spans="1:26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</row>
    <row r="176" spans="1:26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</row>
    <row r="177" spans="1:26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</row>
    <row r="178" spans="1:26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</row>
    <row r="179" spans="1:26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</row>
    <row r="180" spans="1:26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</row>
    <row r="181" spans="1:26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</row>
    <row r="182" spans="1:26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</row>
    <row r="183" spans="1:26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</row>
    <row r="184" spans="1:26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</row>
    <row r="185" spans="1:26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</row>
    <row r="186" spans="1:26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</row>
    <row r="187" spans="1:26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</row>
    <row r="188" spans="1:26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</row>
    <row r="189" spans="1:26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</row>
    <row r="190" spans="1:26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</row>
    <row r="191" spans="1:26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</row>
    <row r="192" spans="1:26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</row>
    <row r="193" spans="1:26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</row>
    <row r="194" spans="1:26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</row>
    <row r="195" spans="1:26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</row>
    <row r="196" spans="1:26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</row>
    <row r="197" spans="1:26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</row>
    <row r="198" spans="1:26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</row>
    <row r="199" spans="1:26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</row>
    <row r="200" spans="1:26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</row>
    <row r="201" spans="1:26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</row>
    <row r="202" spans="1:26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</row>
    <row r="203" spans="1:26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</row>
    <row r="204" spans="1:26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</row>
    <row r="205" spans="1:26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</row>
    <row r="206" spans="1:26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</row>
    <row r="207" spans="1:26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</row>
    <row r="208" spans="1:26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</row>
    <row r="209" spans="1:26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</row>
    <row r="210" spans="1:26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</row>
    <row r="211" spans="1:26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</row>
    <row r="212" spans="1:26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</row>
    <row r="213" spans="1:26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</row>
    <row r="214" spans="1:26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</row>
    <row r="215" spans="1:26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</row>
    <row r="216" spans="1:26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</row>
    <row r="217" spans="1:26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</row>
    <row r="218" spans="1:26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</row>
    <row r="219" spans="1:26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</row>
    <row r="220" spans="1:26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</row>
    <row r="221" spans="1:26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</row>
    <row r="222" spans="1:26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</row>
    <row r="223" spans="1:26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</row>
    <row r="224" spans="1:26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</row>
    <row r="225" spans="1:26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</row>
    <row r="226" spans="1:26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</row>
    <row r="227" spans="1:26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</row>
    <row r="228" spans="1:26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</row>
    <row r="229" spans="1:26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</row>
    <row r="230" spans="1:26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</row>
    <row r="231" spans="1:26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</row>
    <row r="232" spans="1:26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</row>
    <row r="233" spans="1:26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</row>
    <row r="234" spans="1:26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</row>
    <row r="235" spans="1:26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</row>
    <row r="236" spans="1:26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</row>
    <row r="237" spans="1:26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</row>
    <row r="238" spans="1:26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</row>
    <row r="239" spans="1:26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</row>
    <row r="240" spans="1:26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</row>
    <row r="241" spans="1:26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</row>
    <row r="242" spans="1:26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</row>
    <row r="243" spans="1:26">
      <c r="A243" s="35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</row>
    <row r="244" spans="1:26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</row>
    <row r="245" spans="1:26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</row>
    <row r="246" spans="1:26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</row>
    <row r="247" spans="1:26">
      <c r="A247" s="35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</row>
    <row r="248" spans="1:26">
      <c r="A248" s="35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</row>
    <row r="249" spans="1:26">
      <c r="A249" s="35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</row>
    <row r="250" spans="1:26">
      <c r="A250" s="35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</row>
    <row r="251" spans="1:26">
      <c r="A251" s="35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</row>
    <row r="252" spans="1:26">
      <c r="A252" s="35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</row>
    <row r="253" spans="1:26">
      <c r="A253" s="35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</row>
    <row r="254" spans="1:26">
      <c r="A254" s="35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</row>
    <row r="255" spans="1:26">
      <c r="A255" s="35"/>
      <c r="B255" s="35"/>
      <c r="C255" s="35"/>
      <c r="D255" s="35"/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</row>
    <row r="256" spans="1:26">
      <c r="A256" s="35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</row>
    <row r="257" spans="1:26">
      <c r="A257" s="35"/>
      <c r="B257" s="35"/>
      <c r="C257" s="35"/>
      <c r="D257" s="35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</row>
    <row r="258" spans="1:26">
      <c r="A258" s="35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</row>
    <row r="259" spans="1:26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</row>
    <row r="260" spans="1:26">
      <c r="A260" s="35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</row>
    <row r="261" spans="1:26">
      <c r="A261" s="35"/>
      <c r="B261" s="35"/>
      <c r="C261" s="35"/>
      <c r="D261" s="35"/>
      <c r="E261" s="35"/>
      <c r="F261" s="35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</row>
    <row r="262" spans="1:26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</row>
    <row r="263" spans="1:26">
      <c r="A263" s="35"/>
      <c r="B263" s="35"/>
      <c r="C263" s="35"/>
      <c r="D263" s="35"/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</row>
    <row r="264" spans="1:26">
      <c r="A264" s="35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</row>
    <row r="265" spans="1:26">
      <c r="A265" s="35"/>
      <c r="B265" s="35"/>
      <c r="C265" s="35"/>
      <c r="D265" s="35"/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</row>
    <row r="266" spans="1:26">
      <c r="A266" s="35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</row>
    <row r="267" spans="1:26">
      <c r="A267" s="35"/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</row>
    <row r="268" spans="1:26">
      <c r="A268" s="35"/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</row>
    <row r="269" spans="1:26">
      <c r="A269" s="35"/>
      <c r="B269" s="35"/>
      <c r="C269" s="35"/>
      <c r="D269" s="35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</row>
    <row r="270" spans="1:26">
      <c r="A270" s="35"/>
      <c r="B270" s="35"/>
      <c r="C270" s="35"/>
      <c r="D270" s="35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</row>
    <row r="271" spans="1:26">
      <c r="A271" s="35"/>
      <c r="B271" s="35"/>
      <c r="C271" s="35"/>
      <c r="D271" s="35"/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</row>
    <row r="272" spans="1:26">
      <c r="A272" s="35"/>
      <c r="B272" s="35"/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</row>
    <row r="273" spans="1:26">
      <c r="A273" s="35"/>
      <c r="B273" s="35"/>
      <c r="C273" s="35"/>
      <c r="D273" s="35"/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</row>
    <row r="274" spans="1:26">
      <c r="A274" s="35"/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</row>
    <row r="275" spans="1:26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</row>
    <row r="276" spans="1:26">
      <c r="A276" s="35"/>
      <c r="B276" s="35"/>
      <c r="C276" s="35"/>
      <c r="D276" s="35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</row>
    <row r="277" spans="1:26">
      <c r="A277" s="35"/>
      <c r="B277" s="35"/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</row>
    <row r="278" spans="1:26">
      <c r="A278" s="35"/>
      <c r="B278" s="35"/>
      <c r="C278" s="35"/>
      <c r="D278" s="35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</row>
    <row r="279" spans="1:26">
      <c r="A279" s="35"/>
      <c r="B279" s="35"/>
      <c r="C279" s="35"/>
      <c r="D279" s="35"/>
      <c r="E279" s="35"/>
      <c r="F279" s="35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</row>
    <row r="280" spans="1:26">
      <c r="A280" s="35"/>
      <c r="B280" s="35"/>
      <c r="C280" s="35"/>
      <c r="D280" s="35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</row>
    <row r="281" spans="1:26">
      <c r="A281" s="35"/>
      <c r="B281" s="35"/>
      <c r="C281" s="35"/>
      <c r="D281" s="35"/>
      <c r="E281" s="35"/>
      <c r="F281" s="35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</row>
    <row r="282" spans="1:26">
      <c r="A282" s="35"/>
      <c r="B282" s="35"/>
      <c r="C282" s="35"/>
      <c r="D282" s="35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</row>
    <row r="283" spans="1:26">
      <c r="A283" s="35"/>
      <c r="B283" s="35"/>
      <c r="C283" s="35"/>
      <c r="D283" s="35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</row>
    <row r="284" spans="1:26">
      <c r="A284" s="35"/>
      <c r="B284" s="35"/>
      <c r="C284" s="35"/>
      <c r="D284" s="35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</row>
    <row r="285" spans="1:26">
      <c r="A285" s="35"/>
      <c r="B285" s="35"/>
      <c r="C285" s="35"/>
      <c r="D285" s="35"/>
      <c r="E285" s="35"/>
      <c r="F285" s="35"/>
      <c r="G285" s="35"/>
      <c r="H285" s="35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</row>
    <row r="286" spans="1:26">
      <c r="A286" s="35"/>
      <c r="B286" s="35"/>
      <c r="C286" s="35"/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</row>
    <row r="287" spans="1:26">
      <c r="A287" s="35"/>
      <c r="B287" s="35"/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</row>
    <row r="288" spans="1:26">
      <c r="A288" s="35"/>
      <c r="B288" s="35"/>
      <c r="C288" s="35"/>
      <c r="D288" s="35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</row>
    <row r="289" spans="1:26">
      <c r="A289" s="35"/>
      <c r="B289" s="35"/>
      <c r="C289" s="35"/>
      <c r="D289" s="35"/>
      <c r="E289" s="35"/>
      <c r="F289" s="35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</row>
    <row r="290" spans="1:26">
      <c r="A290" s="35"/>
      <c r="B290" s="35"/>
      <c r="C290" s="35"/>
      <c r="D290" s="35"/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</row>
    <row r="291" spans="1:26">
      <c r="A291" s="35"/>
      <c r="B291" s="35"/>
      <c r="C291" s="35"/>
      <c r="D291" s="35"/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</row>
    <row r="292" spans="1:26">
      <c r="A292" s="35"/>
      <c r="B292" s="35"/>
      <c r="C292" s="35"/>
      <c r="D292" s="35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</row>
    <row r="293" spans="1:26">
      <c r="A293" s="35"/>
      <c r="B293" s="35"/>
      <c r="C293" s="35"/>
      <c r="D293" s="35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</row>
    <row r="294" spans="1:26">
      <c r="A294" s="35"/>
      <c r="B294" s="35"/>
      <c r="C294" s="35"/>
      <c r="D294" s="35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</row>
    <row r="295" spans="1:26">
      <c r="A295" s="35"/>
      <c r="B295" s="35"/>
      <c r="C295" s="35"/>
      <c r="D295" s="35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</row>
    <row r="296" spans="1:26">
      <c r="A296" s="35"/>
      <c r="B296" s="35"/>
      <c r="C296" s="35"/>
      <c r="D296" s="35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</row>
    <row r="297" spans="1:26">
      <c r="A297" s="35"/>
      <c r="B297" s="35"/>
      <c r="C297" s="35"/>
      <c r="D297" s="35"/>
      <c r="E297" s="35"/>
      <c r="F297" s="35"/>
      <c r="G297" s="35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</row>
    <row r="298" spans="1:26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</row>
    <row r="299" spans="1:26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</row>
    <row r="300" spans="1:26">
      <c r="A300" s="35"/>
      <c r="B300" s="35"/>
      <c r="C300" s="35"/>
      <c r="D300" s="35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</row>
    <row r="301" spans="1:26">
      <c r="A301" s="35"/>
      <c r="B301" s="35"/>
      <c r="C301" s="35"/>
      <c r="D301" s="35"/>
      <c r="E301" s="35"/>
      <c r="F301" s="35"/>
      <c r="G301" s="35"/>
      <c r="H301" s="35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</row>
    <row r="302" spans="1:26">
      <c r="A302" s="35"/>
      <c r="B302" s="35"/>
      <c r="C302" s="35"/>
      <c r="D302" s="35"/>
      <c r="E302" s="35"/>
      <c r="F302" s="35"/>
      <c r="G302" s="35"/>
      <c r="H302" s="35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</row>
    <row r="303" spans="1:26">
      <c r="A303" s="35"/>
      <c r="B303" s="35"/>
      <c r="C303" s="35"/>
      <c r="D303" s="35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</row>
    <row r="304" spans="1:26">
      <c r="A304" s="35"/>
      <c r="B304" s="35"/>
      <c r="C304" s="35"/>
      <c r="D304" s="35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</row>
    <row r="305" spans="1:26">
      <c r="A305" s="35"/>
      <c r="B305" s="35"/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</row>
    <row r="306" spans="1:26">
      <c r="A306" s="35"/>
      <c r="B306" s="35"/>
      <c r="C306" s="35"/>
      <c r="D306" s="35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</row>
    <row r="307" spans="1:26">
      <c r="A307" s="35"/>
      <c r="B307" s="35"/>
      <c r="C307" s="35"/>
      <c r="D307" s="35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</row>
    <row r="308" spans="1:26">
      <c r="A308" s="35"/>
      <c r="B308" s="35"/>
      <c r="C308" s="35"/>
      <c r="D308" s="35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</row>
    <row r="309" spans="1:26">
      <c r="A309" s="35"/>
      <c r="B309" s="35"/>
      <c r="C309" s="35"/>
      <c r="D309" s="35"/>
      <c r="E309" s="35"/>
      <c r="F309" s="35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</row>
    <row r="310" spans="1:26">
      <c r="A310" s="35"/>
      <c r="B310" s="35"/>
      <c r="C310" s="35"/>
      <c r="D310" s="35"/>
      <c r="E310" s="35"/>
      <c r="F310" s="35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</row>
    <row r="311" spans="1:26">
      <c r="A311" s="35"/>
      <c r="B311" s="35"/>
      <c r="C311" s="35"/>
      <c r="D311" s="35"/>
      <c r="E311" s="35"/>
      <c r="F311" s="35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</row>
    <row r="312" spans="1:26">
      <c r="A312" s="35"/>
      <c r="B312" s="35"/>
      <c r="C312" s="35"/>
      <c r="D312" s="35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</row>
    <row r="313" spans="1:26">
      <c r="A313" s="35"/>
      <c r="B313" s="35"/>
      <c r="C313" s="35"/>
      <c r="D313" s="35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</row>
    <row r="314" spans="1:26">
      <c r="A314" s="35"/>
      <c r="B314" s="35"/>
      <c r="C314" s="35"/>
      <c r="D314" s="35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</row>
    <row r="315" spans="1:26">
      <c r="A315" s="35"/>
      <c r="B315" s="35"/>
      <c r="C315" s="35"/>
      <c r="D315" s="35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</row>
    <row r="316" spans="1:26">
      <c r="A316" s="35"/>
      <c r="B316" s="35"/>
      <c r="C316" s="35"/>
      <c r="D316" s="35"/>
      <c r="E316" s="35"/>
      <c r="F316" s="35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</row>
    <row r="317" spans="1:26">
      <c r="A317" s="35"/>
      <c r="B317" s="35"/>
      <c r="C317" s="35"/>
      <c r="D317" s="35"/>
      <c r="E317" s="35"/>
      <c r="F317" s="35"/>
      <c r="G317" s="35"/>
      <c r="H317" s="35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</row>
    <row r="318" spans="1:26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</row>
    <row r="319" spans="1:26">
      <c r="A319" s="35"/>
      <c r="B319" s="35"/>
      <c r="C319" s="35"/>
      <c r="D319" s="35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</row>
    <row r="320" spans="1:26">
      <c r="A320" s="35"/>
      <c r="B320" s="35"/>
      <c r="C320" s="35"/>
      <c r="D320" s="35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</row>
    <row r="321" spans="1:26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</row>
    <row r="322" spans="1:26">
      <c r="A322" s="35"/>
      <c r="B322" s="35"/>
      <c r="C322" s="35"/>
      <c r="D322" s="35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</row>
    <row r="323" spans="1:26">
      <c r="A323" s="35"/>
      <c r="B323" s="35"/>
      <c r="C323" s="35"/>
      <c r="D323" s="35"/>
      <c r="E323" s="35"/>
      <c r="F323" s="35"/>
      <c r="G323" s="35"/>
      <c r="H323" s="35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</row>
    <row r="324" spans="1:26">
      <c r="A324" s="35"/>
      <c r="B324" s="35"/>
      <c r="C324" s="35"/>
      <c r="D324" s="35"/>
      <c r="E324" s="35"/>
      <c r="F324" s="35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</row>
    <row r="325" spans="1:26">
      <c r="A325" s="35"/>
      <c r="B325" s="35"/>
      <c r="C325" s="35"/>
      <c r="D325" s="35"/>
      <c r="E325" s="35"/>
      <c r="F325" s="35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</row>
    <row r="326" spans="1:26">
      <c r="A326" s="35"/>
      <c r="B326" s="35"/>
      <c r="C326" s="35"/>
      <c r="D326" s="35"/>
      <c r="E326" s="35"/>
      <c r="F326" s="35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</row>
    <row r="327" spans="1:26">
      <c r="A327" s="35"/>
      <c r="B327" s="35"/>
      <c r="C327" s="35"/>
      <c r="D327" s="35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</row>
    <row r="328" spans="1:26">
      <c r="A328" s="35"/>
      <c r="B328" s="35"/>
      <c r="C328" s="35"/>
      <c r="D328" s="35"/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</row>
    <row r="329" spans="1:26">
      <c r="A329" s="35"/>
      <c r="B329" s="35"/>
      <c r="C329" s="35"/>
      <c r="D329" s="35"/>
      <c r="E329" s="35"/>
      <c r="F329" s="35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</row>
    <row r="330" spans="1:26">
      <c r="A330" s="35"/>
      <c r="B330" s="35"/>
      <c r="C330" s="35"/>
      <c r="D330" s="35"/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</row>
    <row r="331" spans="1:26">
      <c r="A331" s="35"/>
      <c r="B331" s="35"/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</row>
    <row r="332" spans="1:26">
      <c r="A332" s="35"/>
      <c r="B332" s="35"/>
      <c r="C332" s="35"/>
      <c r="D332" s="35"/>
      <c r="E332" s="35"/>
      <c r="F332" s="35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</row>
    <row r="333" spans="1:26">
      <c r="A333" s="35"/>
      <c r="B333" s="35"/>
      <c r="C333" s="35"/>
      <c r="D333" s="35"/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</row>
    <row r="334" spans="1:26">
      <c r="A334" s="35"/>
      <c r="B334" s="35"/>
      <c r="C334" s="35"/>
      <c r="D334" s="35"/>
      <c r="E334" s="35"/>
      <c r="F334" s="35"/>
      <c r="G334" s="35"/>
      <c r="H334" s="35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</row>
    <row r="335" spans="1:26">
      <c r="A335" s="35"/>
      <c r="B335" s="35"/>
      <c r="C335" s="35"/>
      <c r="D335" s="35"/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</row>
    <row r="336" spans="1:26">
      <c r="A336" s="35"/>
      <c r="B336" s="35"/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</row>
    <row r="337" spans="1:26">
      <c r="A337" s="35"/>
      <c r="B337" s="35"/>
      <c r="C337" s="35"/>
      <c r="D337" s="35"/>
      <c r="E337" s="35"/>
      <c r="F337" s="35"/>
      <c r="G337" s="35"/>
      <c r="H337" s="35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</row>
    <row r="338" spans="1:26">
      <c r="A338" s="35"/>
      <c r="B338" s="35"/>
      <c r="C338" s="35"/>
      <c r="D338" s="35"/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</row>
    <row r="339" spans="1:26">
      <c r="A339" s="35"/>
      <c r="B339" s="35"/>
      <c r="C339" s="35"/>
      <c r="D339" s="35"/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</row>
    <row r="340" spans="1:26">
      <c r="A340" s="35"/>
      <c r="B340" s="35"/>
      <c r="C340" s="35"/>
      <c r="D340" s="35"/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</row>
    <row r="341" spans="1:26">
      <c r="A341" s="35"/>
      <c r="B341" s="35"/>
      <c r="C341" s="35"/>
      <c r="D341" s="35"/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</row>
    <row r="342" spans="1:26">
      <c r="A342" s="35"/>
      <c r="B342" s="35"/>
      <c r="C342" s="35"/>
      <c r="D342" s="35"/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</row>
    <row r="343" spans="1:26">
      <c r="A343" s="35"/>
      <c r="B343" s="35"/>
      <c r="C343" s="35"/>
      <c r="D343" s="35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</row>
    <row r="344" spans="1:26">
      <c r="A344" s="35"/>
      <c r="B344" s="35"/>
      <c r="C344" s="35"/>
      <c r="D344" s="35"/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</row>
    <row r="345" spans="1:26">
      <c r="A345" s="35"/>
      <c r="B345" s="35"/>
      <c r="C345" s="35"/>
      <c r="D345" s="35"/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</row>
    <row r="346" spans="1:26">
      <c r="A346" s="35"/>
      <c r="B346" s="35"/>
      <c r="C346" s="35"/>
      <c r="D346" s="35"/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</row>
    <row r="347" spans="1:26">
      <c r="A347" s="35"/>
      <c r="B347" s="35"/>
      <c r="C347" s="35"/>
      <c r="D347" s="35"/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</row>
    <row r="348" spans="1:26">
      <c r="A348" s="35"/>
      <c r="B348" s="35"/>
      <c r="C348" s="35"/>
      <c r="D348" s="35"/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</row>
    <row r="349" spans="1:26">
      <c r="A349" s="35"/>
      <c r="B349" s="35"/>
      <c r="C349" s="35"/>
      <c r="D349" s="35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</row>
    <row r="350" spans="1:26">
      <c r="A350" s="35"/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</row>
    <row r="351" spans="1:26">
      <c r="A351" s="35"/>
      <c r="B351" s="35"/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</row>
    <row r="352" spans="1:26">
      <c r="A352" s="35"/>
      <c r="B352" s="35"/>
      <c r="C352" s="35"/>
      <c r="D352" s="35"/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</row>
    <row r="353" spans="1:26">
      <c r="A353" s="35"/>
      <c r="B353" s="35"/>
      <c r="C353" s="35"/>
      <c r="D353" s="35"/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</row>
    <row r="354" spans="1:26">
      <c r="A354" s="35"/>
      <c r="B354" s="35"/>
      <c r="C354" s="35"/>
      <c r="D354" s="35"/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</row>
    <row r="355" spans="1:26">
      <c r="A355" s="35"/>
      <c r="B355" s="35"/>
      <c r="C355" s="35"/>
      <c r="D355" s="35"/>
      <c r="E355" s="35"/>
      <c r="F355" s="35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</row>
    <row r="356" spans="1:26">
      <c r="A356" s="35"/>
      <c r="B356" s="35"/>
      <c r="C356" s="35"/>
      <c r="D356" s="35"/>
      <c r="E356" s="35"/>
      <c r="F356" s="35"/>
      <c r="G356" s="35"/>
      <c r="H356" s="35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</row>
    <row r="357" spans="1:26">
      <c r="A357" s="35"/>
      <c r="B357" s="35"/>
      <c r="C357" s="35"/>
      <c r="D357" s="35"/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</row>
    <row r="358" spans="1:26">
      <c r="A358" s="35"/>
      <c r="B358" s="35"/>
      <c r="C358" s="35"/>
      <c r="D358" s="35"/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</row>
    <row r="359" spans="1:26">
      <c r="A359" s="35"/>
      <c r="B359" s="35"/>
      <c r="C359" s="35"/>
      <c r="D359" s="35"/>
      <c r="E359" s="35"/>
      <c r="F359" s="35"/>
      <c r="G359" s="35"/>
      <c r="H359" s="35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</row>
    <row r="360" spans="1:26">
      <c r="A360" s="35"/>
      <c r="B360" s="35"/>
      <c r="C360" s="35"/>
      <c r="D360" s="35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</row>
    <row r="361" spans="1:26">
      <c r="A361" s="35"/>
      <c r="B361" s="35"/>
      <c r="C361" s="35"/>
      <c r="D361" s="35"/>
      <c r="E361" s="35"/>
      <c r="F361" s="35"/>
      <c r="G361" s="35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</row>
    <row r="362" spans="1:26">
      <c r="A362" s="35"/>
      <c r="B362" s="35"/>
      <c r="C362" s="35"/>
      <c r="D362" s="35"/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</row>
    <row r="363" spans="1:26">
      <c r="A363" s="35"/>
      <c r="B363" s="35"/>
      <c r="C363" s="35"/>
      <c r="D363" s="35"/>
      <c r="E363" s="35"/>
      <c r="F363" s="35"/>
      <c r="G363" s="35"/>
      <c r="H363" s="35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</row>
    <row r="364" spans="1:26">
      <c r="A364" s="35"/>
      <c r="B364" s="35"/>
      <c r="C364" s="35"/>
      <c r="D364" s="35"/>
      <c r="E364" s="35"/>
      <c r="F364" s="35"/>
      <c r="G364" s="35"/>
      <c r="H364" s="35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</row>
    <row r="365" spans="1:26">
      <c r="A365" s="35"/>
      <c r="B365" s="35"/>
      <c r="C365" s="35"/>
      <c r="D365" s="35"/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</row>
    <row r="366" spans="1:26">
      <c r="A366" s="35"/>
      <c r="B366" s="35"/>
      <c r="C366" s="35"/>
      <c r="D366" s="35"/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</row>
    <row r="367" spans="1:26">
      <c r="A367" s="35"/>
      <c r="B367" s="35"/>
      <c r="C367" s="35"/>
      <c r="D367" s="35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</row>
    <row r="368" spans="1:26">
      <c r="A368" s="35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</row>
    <row r="369" spans="1:26">
      <c r="A369" s="35"/>
      <c r="B369" s="35"/>
      <c r="C369" s="35"/>
      <c r="D369" s="35"/>
      <c r="E369" s="35"/>
      <c r="F369" s="35"/>
      <c r="G369" s="35"/>
      <c r="H369" s="35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</row>
    <row r="370" spans="1:26">
      <c r="A370" s="35"/>
      <c r="B370" s="35"/>
      <c r="C370" s="35"/>
      <c r="D370" s="35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</row>
    <row r="371" spans="1:26">
      <c r="A371" s="35"/>
      <c r="B371" s="35"/>
      <c r="C371" s="35"/>
      <c r="D371" s="35"/>
      <c r="E371" s="35"/>
      <c r="F371" s="35"/>
      <c r="G371" s="35"/>
      <c r="H371" s="35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</row>
    <row r="372" spans="1:26">
      <c r="A372" s="35"/>
      <c r="B372" s="35"/>
      <c r="C372" s="35"/>
      <c r="D372" s="35"/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</row>
    <row r="373" spans="1:26">
      <c r="A373" s="35"/>
      <c r="B373" s="35"/>
      <c r="C373" s="35"/>
      <c r="D373" s="35"/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</row>
    <row r="374" spans="1:26">
      <c r="A374" s="35"/>
      <c r="B374" s="35"/>
      <c r="C374" s="35"/>
      <c r="D374" s="35"/>
      <c r="E374" s="35"/>
      <c r="F374" s="35"/>
      <c r="G374" s="35"/>
      <c r="H374" s="35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</row>
    <row r="375" spans="1:26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</row>
    <row r="376" spans="1:26">
      <c r="A376" s="35"/>
      <c r="B376" s="35"/>
      <c r="C376" s="35"/>
      <c r="D376" s="35"/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</row>
    <row r="377" spans="1:26">
      <c r="A377" s="35"/>
      <c r="B377" s="35"/>
      <c r="C377" s="35"/>
      <c r="D377" s="35"/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</row>
    <row r="378" spans="1:26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</row>
    <row r="379" spans="1:26">
      <c r="A379" s="35"/>
      <c r="B379" s="35"/>
      <c r="C379" s="35"/>
      <c r="D379" s="35"/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</row>
    <row r="380" spans="1:26">
      <c r="A380" s="35"/>
      <c r="B380" s="35"/>
      <c r="C380" s="35"/>
      <c r="D380" s="35"/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</row>
    <row r="381" spans="1:26">
      <c r="A381" s="35"/>
      <c r="B381" s="35"/>
      <c r="C381" s="35"/>
      <c r="D381" s="35"/>
      <c r="E381" s="35"/>
      <c r="F381" s="35"/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</row>
    <row r="382" spans="1:26">
      <c r="A382" s="35"/>
      <c r="B382" s="35"/>
      <c r="C382" s="35"/>
      <c r="D382" s="35"/>
      <c r="E382" s="35"/>
      <c r="F382" s="35"/>
      <c r="G382" s="35"/>
      <c r="H382" s="35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</row>
    <row r="383" spans="1:26">
      <c r="A383" s="35"/>
      <c r="B383" s="35"/>
      <c r="C383" s="35"/>
      <c r="D383" s="35"/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</row>
    <row r="384" spans="1:26">
      <c r="A384" s="35"/>
      <c r="B384" s="35"/>
      <c r="C384" s="35"/>
      <c r="D384" s="35"/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</row>
    <row r="385" spans="1:26">
      <c r="A385" s="35"/>
      <c r="B385" s="35"/>
      <c r="C385" s="35"/>
      <c r="D385" s="35"/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</row>
    <row r="386" spans="1:26">
      <c r="A386" s="35"/>
      <c r="B386" s="35"/>
      <c r="C386" s="35"/>
      <c r="D386" s="35"/>
      <c r="E386" s="35"/>
      <c r="F386" s="35"/>
      <c r="G386" s="35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</row>
    <row r="387" spans="1:26">
      <c r="A387" s="35"/>
      <c r="B387" s="35"/>
      <c r="C387" s="35"/>
      <c r="D387" s="35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</row>
    <row r="388" spans="1:26">
      <c r="A388" s="35"/>
      <c r="B388" s="35"/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</row>
    <row r="389" spans="1:26">
      <c r="A389" s="35"/>
      <c r="B389" s="35"/>
      <c r="C389" s="35"/>
      <c r="D389" s="35"/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</row>
    <row r="390" spans="1:26">
      <c r="A390" s="35"/>
      <c r="B390" s="35"/>
      <c r="C390" s="35"/>
      <c r="D390" s="35"/>
      <c r="E390" s="35"/>
      <c r="F390" s="35"/>
      <c r="G390" s="35"/>
      <c r="H390" s="35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</row>
    <row r="391" spans="1:26">
      <c r="A391" s="35"/>
      <c r="B391" s="35"/>
      <c r="C391" s="35"/>
      <c r="D391" s="35"/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</row>
    <row r="392" spans="1:26">
      <c r="A392" s="35"/>
      <c r="B392" s="35"/>
      <c r="C392" s="35"/>
      <c r="D392" s="35"/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</row>
    <row r="393" spans="1:26">
      <c r="A393" s="35"/>
      <c r="B393" s="35"/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</row>
    <row r="394" spans="1:26">
      <c r="A394" s="35"/>
      <c r="B394" s="35"/>
      <c r="C394" s="35"/>
      <c r="D394" s="35"/>
      <c r="E394" s="35"/>
      <c r="F394" s="35"/>
      <c r="G394" s="35"/>
      <c r="H394" s="35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</row>
    <row r="395" spans="1:26">
      <c r="A395" s="35"/>
      <c r="B395" s="35"/>
      <c r="C395" s="35"/>
      <c r="D395" s="35"/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</row>
    <row r="396" spans="1:26">
      <c r="A396" s="35"/>
      <c r="B396" s="35"/>
      <c r="C396" s="35"/>
      <c r="D396" s="35"/>
      <c r="E396" s="35"/>
      <c r="F396" s="35"/>
      <c r="G396" s="35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</row>
    <row r="397" spans="1:26">
      <c r="A397" s="35"/>
      <c r="B397" s="35"/>
      <c r="C397" s="35"/>
      <c r="D397" s="35"/>
      <c r="E397" s="35"/>
      <c r="F397" s="35"/>
      <c r="G397" s="35"/>
      <c r="H397" s="35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</row>
    <row r="398" spans="1:26">
      <c r="A398" s="35"/>
      <c r="B398" s="35"/>
      <c r="C398" s="35"/>
      <c r="D398" s="35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</row>
    <row r="399" spans="1:26">
      <c r="A399" s="35"/>
      <c r="B399" s="35"/>
      <c r="C399" s="35"/>
      <c r="D399" s="35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</row>
    <row r="400" spans="1:26">
      <c r="A400" s="35"/>
      <c r="B400" s="35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</row>
    <row r="401" spans="1:26">
      <c r="A401" s="35"/>
      <c r="B401" s="35"/>
      <c r="C401" s="35"/>
      <c r="D401" s="35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</row>
    <row r="402" spans="1:26">
      <c r="A402" s="35"/>
      <c r="B402" s="35"/>
      <c r="C402" s="35"/>
      <c r="D402" s="35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</row>
    <row r="403" spans="1:26">
      <c r="A403" s="35"/>
      <c r="B403" s="35"/>
      <c r="C403" s="35"/>
      <c r="D403" s="35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</row>
    <row r="404" spans="1:26">
      <c r="A404" s="35"/>
      <c r="B404" s="35"/>
      <c r="C404" s="35"/>
      <c r="D404" s="35"/>
      <c r="E404" s="35"/>
      <c r="F404" s="35"/>
      <c r="G404" s="35"/>
      <c r="H404" s="35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</row>
    <row r="405" spans="1:26">
      <c r="A405" s="35"/>
      <c r="B405" s="35"/>
      <c r="C405" s="35"/>
      <c r="D405" s="35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</row>
    <row r="406" spans="1:26">
      <c r="A406" s="35"/>
      <c r="B406" s="35"/>
      <c r="C406" s="35"/>
      <c r="D406" s="35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</row>
    <row r="407" spans="1:26">
      <c r="A407" s="35"/>
      <c r="B407" s="35"/>
      <c r="C407" s="35"/>
      <c r="D407" s="35"/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</row>
    <row r="408" spans="1:26">
      <c r="A408" s="35"/>
      <c r="B408" s="35"/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</row>
    <row r="409" spans="1:26">
      <c r="A409" s="35"/>
      <c r="B409" s="35"/>
      <c r="C409" s="35"/>
      <c r="D409" s="35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</row>
    <row r="410" spans="1:26">
      <c r="A410" s="35"/>
      <c r="B410" s="35"/>
      <c r="C410" s="35"/>
      <c r="D410" s="35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</row>
    <row r="411" spans="1:26">
      <c r="A411" s="35"/>
      <c r="B411" s="35"/>
      <c r="C411" s="35"/>
      <c r="D411" s="35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</row>
    <row r="412" spans="1:26">
      <c r="A412" s="35"/>
      <c r="B412" s="35"/>
      <c r="C412" s="35"/>
      <c r="D412" s="35"/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</row>
    <row r="413" spans="1:26">
      <c r="A413" s="35"/>
      <c r="B413" s="35"/>
      <c r="C413" s="35"/>
      <c r="D413" s="35"/>
      <c r="E413" s="35"/>
      <c r="F413" s="35"/>
      <c r="G413" s="35"/>
      <c r="H413" s="35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</row>
    <row r="414" spans="1:26">
      <c r="A414" s="35"/>
      <c r="B414" s="35"/>
      <c r="C414" s="35"/>
      <c r="D414" s="35"/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</row>
    <row r="415" spans="1:26">
      <c r="A415" s="35"/>
      <c r="B415" s="35"/>
      <c r="C415" s="35"/>
      <c r="D415" s="35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</row>
    <row r="416" spans="1:26">
      <c r="A416" s="35"/>
      <c r="B416" s="35"/>
      <c r="C416" s="35"/>
      <c r="D416" s="35"/>
      <c r="E416" s="35"/>
      <c r="F416" s="35"/>
      <c r="G416" s="35"/>
      <c r="H416" s="35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</row>
    <row r="417" spans="1:26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</row>
    <row r="418" spans="1:26">
      <c r="A418" s="35"/>
      <c r="B418" s="35"/>
      <c r="C418" s="35"/>
      <c r="D418" s="35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</row>
    <row r="419" spans="1:26">
      <c r="A419" s="35"/>
      <c r="B419" s="35"/>
      <c r="C419" s="35"/>
      <c r="D419" s="35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</row>
    <row r="420" spans="1:26">
      <c r="A420" s="35"/>
      <c r="B420" s="35"/>
      <c r="C420" s="35"/>
      <c r="D420" s="35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</row>
    <row r="421" spans="1:26">
      <c r="A421" s="35"/>
      <c r="B421" s="35"/>
      <c r="C421" s="35"/>
      <c r="D421" s="35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</row>
    <row r="422" spans="1:26">
      <c r="A422" s="35"/>
      <c r="B422" s="35"/>
      <c r="C422" s="35"/>
      <c r="D422" s="35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</row>
    <row r="423" spans="1:26">
      <c r="A423" s="35"/>
      <c r="B423" s="35"/>
      <c r="C423" s="35"/>
      <c r="D423" s="35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</row>
    <row r="424" spans="1:26">
      <c r="A424" s="35"/>
      <c r="B424" s="35"/>
      <c r="C424" s="35"/>
      <c r="D424" s="35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</row>
    <row r="425" spans="1:26">
      <c r="A425" s="35"/>
      <c r="B425" s="35"/>
      <c r="C425" s="35"/>
      <c r="D425" s="35"/>
      <c r="E425" s="35"/>
      <c r="F425" s="35"/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</row>
    <row r="426" spans="1:26">
      <c r="A426" s="35"/>
      <c r="B426" s="35"/>
      <c r="C426" s="35"/>
      <c r="D426" s="35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</row>
    <row r="427" spans="1:26">
      <c r="A427" s="35"/>
      <c r="B427" s="35"/>
      <c r="C427" s="35"/>
      <c r="D427" s="35"/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</row>
    <row r="428" spans="1:26">
      <c r="A428" s="35"/>
      <c r="B428" s="35"/>
      <c r="C428" s="35"/>
      <c r="D428" s="35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</row>
    <row r="429" spans="1:26">
      <c r="A429" s="35"/>
      <c r="B429" s="35"/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</row>
    <row r="430" spans="1:26">
      <c r="A430" s="35"/>
      <c r="B430" s="35"/>
      <c r="C430" s="35"/>
      <c r="D430" s="35"/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</row>
    <row r="431" spans="1:26">
      <c r="A431" s="35"/>
      <c r="B431" s="35"/>
      <c r="C431" s="35"/>
      <c r="D431" s="35"/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</row>
    <row r="432" spans="1:26">
      <c r="A432" s="35"/>
      <c r="B432" s="35"/>
      <c r="C432" s="35"/>
      <c r="D432" s="35"/>
      <c r="E432" s="35"/>
      <c r="F432" s="35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</row>
    <row r="433" spans="1:26">
      <c r="A433" s="35"/>
      <c r="B433" s="35"/>
      <c r="C433" s="35"/>
      <c r="D433" s="35"/>
      <c r="E433" s="35"/>
      <c r="F433" s="35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</row>
    <row r="434" spans="1:26">
      <c r="A434" s="35"/>
      <c r="B434" s="35"/>
      <c r="C434" s="35"/>
      <c r="D434" s="35"/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</row>
    <row r="435" spans="1:26">
      <c r="A435" s="35"/>
      <c r="B435" s="35"/>
      <c r="C435" s="35"/>
      <c r="D435" s="35"/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</row>
    <row r="436" spans="1:26">
      <c r="A436" s="35"/>
      <c r="B436" s="35"/>
      <c r="C436" s="35"/>
      <c r="D436" s="35"/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</row>
    <row r="437" spans="1:26">
      <c r="A437" s="35"/>
      <c r="B437" s="35"/>
      <c r="C437" s="35"/>
      <c r="D437" s="35"/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</row>
    <row r="438" spans="1:26">
      <c r="A438" s="35"/>
      <c r="B438" s="35"/>
      <c r="C438" s="35"/>
      <c r="D438" s="35"/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</row>
    <row r="439" spans="1:26">
      <c r="A439" s="35"/>
      <c r="B439" s="35"/>
      <c r="C439" s="35"/>
      <c r="D439" s="35"/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</row>
    <row r="440" spans="1:26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</row>
    <row r="441" spans="1:26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</row>
    <row r="442" spans="1:26">
      <c r="A442" s="35"/>
      <c r="B442" s="35"/>
      <c r="C442" s="35"/>
      <c r="D442" s="35"/>
      <c r="E442" s="35"/>
      <c r="F442" s="35"/>
      <c r="G442" s="35"/>
      <c r="H442" s="35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</row>
    <row r="443" spans="1:26">
      <c r="A443" s="35"/>
      <c r="B443" s="35"/>
      <c r="C443" s="35"/>
      <c r="D443" s="35"/>
      <c r="E443" s="35"/>
      <c r="F443" s="35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</row>
    <row r="444" spans="1:26">
      <c r="A444" s="35"/>
      <c r="B444" s="35"/>
      <c r="C444" s="35"/>
      <c r="D444" s="35"/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</row>
    <row r="445" spans="1:26">
      <c r="A445" s="35"/>
      <c r="B445" s="35"/>
      <c r="C445" s="35"/>
      <c r="D445" s="35"/>
      <c r="E445" s="35"/>
      <c r="F445" s="35"/>
      <c r="G445" s="35"/>
      <c r="H445" s="35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</row>
    <row r="446" spans="1:26">
      <c r="A446" s="35"/>
      <c r="B446" s="35"/>
      <c r="C446" s="35"/>
      <c r="D446" s="35"/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</row>
    <row r="447" spans="1:26">
      <c r="A447" s="35"/>
      <c r="B447" s="35"/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</row>
    <row r="448" spans="1:26">
      <c r="A448" s="35"/>
      <c r="B448" s="35"/>
      <c r="C448" s="35"/>
      <c r="D448" s="35"/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</row>
    <row r="449" spans="1:26">
      <c r="A449" s="35"/>
      <c r="B449" s="35"/>
      <c r="C449" s="35"/>
      <c r="D449" s="35"/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</row>
    <row r="450" spans="1:26">
      <c r="A450" s="35"/>
      <c r="B450" s="35"/>
      <c r="C450" s="35"/>
      <c r="D450" s="35"/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</row>
    <row r="451" spans="1:26">
      <c r="A451" s="35"/>
      <c r="B451" s="35"/>
      <c r="C451" s="35"/>
      <c r="D451" s="35"/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</row>
    <row r="452" spans="1:26">
      <c r="A452" s="35"/>
      <c r="B452" s="35"/>
      <c r="C452" s="35"/>
      <c r="D452" s="35"/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</row>
    <row r="453" spans="1:26">
      <c r="A453" s="35"/>
      <c r="B453" s="35"/>
      <c r="C453" s="35"/>
      <c r="D453" s="35"/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</row>
    <row r="454" spans="1:26">
      <c r="A454" s="35"/>
      <c r="B454" s="35"/>
      <c r="C454" s="35"/>
      <c r="D454" s="35"/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</row>
    <row r="455" spans="1:26">
      <c r="A455" s="35"/>
      <c r="B455" s="35"/>
      <c r="C455" s="35"/>
      <c r="D455" s="35"/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</row>
    <row r="456" spans="1:26">
      <c r="A456" s="35"/>
      <c r="B456" s="35"/>
      <c r="C456" s="35"/>
      <c r="D456" s="35"/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</row>
    <row r="457" spans="1:26">
      <c r="A457" s="35"/>
      <c r="B457" s="35"/>
      <c r="C457" s="35"/>
      <c r="D457" s="35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</row>
    <row r="458" spans="1:26">
      <c r="A458" s="35"/>
      <c r="B458" s="35"/>
      <c r="C458" s="35"/>
      <c r="D458" s="35"/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</row>
    <row r="459" spans="1:26">
      <c r="A459" s="35"/>
      <c r="B459" s="35"/>
      <c r="C459" s="35"/>
      <c r="D459" s="35"/>
      <c r="E459" s="35"/>
      <c r="F459" s="35"/>
      <c r="G459" s="35"/>
      <c r="H459" s="35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</row>
    <row r="460" spans="1:26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</row>
    <row r="461" spans="1:26">
      <c r="A461" s="35"/>
      <c r="B461" s="35"/>
      <c r="C461" s="35"/>
      <c r="D461" s="35"/>
      <c r="E461" s="35"/>
      <c r="F461" s="35"/>
      <c r="G461" s="35"/>
      <c r="H461" s="35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</row>
    <row r="462" spans="1:26">
      <c r="A462" s="35"/>
      <c r="B462" s="35"/>
      <c r="C462" s="35"/>
      <c r="D462" s="35"/>
      <c r="E462" s="35"/>
      <c r="F462" s="35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</row>
    <row r="463" spans="1:26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</row>
    <row r="464" spans="1:26">
      <c r="A464" s="35"/>
      <c r="B464" s="35"/>
      <c r="C464" s="35"/>
      <c r="D464" s="35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</row>
    <row r="465" spans="1:26">
      <c r="A465" s="35"/>
      <c r="B465" s="35"/>
      <c r="C465" s="35"/>
      <c r="D465" s="35"/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</row>
    <row r="466" spans="1:26">
      <c r="A466" s="35"/>
      <c r="B466" s="35"/>
      <c r="C466" s="35"/>
      <c r="D466" s="35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</row>
    <row r="467" spans="1:26">
      <c r="A467" s="35"/>
      <c r="B467" s="35"/>
      <c r="C467" s="35"/>
      <c r="D467" s="35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</row>
    <row r="468" spans="1:26">
      <c r="A468" s="35"/>
      <c r="B468" s="35"/>
      <c r="C468" s="35"/>
      <c r="D468" s="35"/>
      <c r="E468" s="35"/>
      <c r="F468" s="35"/>
      <c r="G468" s="35"/>
      <c r="H468" s="35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</row>
    <row r="469" spans="1:26">
      <c r="A469" s="35"/>
      <c r="B469" s="35"/>
      <c r="C469" s="35"/>
      <c r="D469" s="35"/>
      <c r="E469" s="35"/>
      <c r="F469" s="35"/>
      <c r="G469" s="35"/>
      <c r="H469" s="35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</row>
    <row r="470" spans="1:26">
      <c r="A470" s="35"/>
      <c r="B470" s="35"/>
      <c r="C470" s="35"/>
      <c r="D470" s="35"/>
      <c r="E470" s="35"/>
      <c r="F470" s="35"/>
      <c r="G470" s="35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</row>
    <row r="471" spans="1:26">
      <c r="A471" s="35"/>
      <c r="B471" s="35"/>
      <c r="C471" s="35"/>
      <c r="D471" s="35"/>
      <c r="E471" s="35"/>
      <c r="F471" s="35"/>
      <c r="G471" s="35"/>
      <c r="H471" s="35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</row>
    <row r="472" spans="1:26">
      <c r="A472" s="35"/>
      <c r="B472" s="35"/>
      <c r="C472" s="35"/>
      <c r="D472" s="35"/>
      <c r="E472" s="35"/>
      <c r="F472" s="35"/>
      <c r="G472" s="35"/>
      <c r="H472" s="35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</row>
    <row r="473" spans="1:26">
      <c r="A473" s="35"/>
      <c r="B473" s="35"/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</row>
    <row r="474" spans="1:26">
      <c r="A474" s="35"/>
      <c r="B474" s="35"/>
      <c r="C474" s="35"/>
      <c r="D474" s="35"/>
      <c r="E474" s="35"/>
      <c r="F474" s="35"/>
      <c r="G474" s="35"/>
      <c r="H474" s="35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</row>
    <row r="475" spans="1:26">
      <c r="A475" s="35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</row>
    <row r="476" spans="1:26">
      <c r="A476" s="35"/>
      <c r="B476" s="35"/>
      <c r="C476" s="35"/>
      <c r="D476" s="35"/>
      <c r="E476" s="35"/>
      <c r="F476" s="35"/>
      <c r="G476" s="35"/>
      <c r="H476" s="35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</row>
    <row r="477" spans="1:26">
      <c r="A477" s="35"/>
      <c r="B477" s="35"/>
      <c r="C477" s="35"/>
      <c r="D477" s="35"/>
      <c r="E477" s="35"/>
      <c r="F477" s="35"/>
      <c r="G477" s="35"/>
      <c r="H477" s="35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</row>
    <row r="478" spans="1:26">
      <c r="A478" s="35"/>
      <c r="B478" s="35"/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</row>
    <row r="479" spans="1:26">
      <c r="A479" s="35"/>
      <c r="B479" s="35"/>
      <c r="C479" s="35"/>
      <c r="D479" s="35"/>
      <c r="E479" s="35"/>
      <c r="F479" s="35"/>
      <c r="G479" s="35"/>
      <c r="H479" s="35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</row>
    <row r="480" spans="1:26">
      <c r="A480" s="35"/>
      <c r="B480" s="35"/>
      <c r="C480" s="35"/>
      <c r="D480" s="35"/>
      <c r="E480" s="35"/>
      <c r="F480" s="35"/>
      <c r="G480" s="35"/>
      <c r="H480" s="35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</row>
    <row r="481" spans="1:26">
      <c r="A481" s="35"/>
      <c r="B481" s="35"/>
      <c r="C481" s="35"/>
      <c r="D481" s="35"/>
      <c r="E481" s="35"/>
      <c r="F481" s="35"/>
      <c r="G481" s="35"/>
      <c r="H481" s="35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</row>
    <row r="482" spans="1:26">
      <c r="A482" s="35"/>
      <c r="B482" s="35"/>
      <c r="C482" s="35"/>
      <c r="D482" s="35"/>
      <c r="E482" s="35"/>
      <c r="F482" s="35"/>
      <c r="G482" s="35"/>
      <c r="H482" s="35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</row>
    <row r="483" spans="1:26">
      <c r="A483" s="35"/>
      <c r="B483" s="35"/>
      <c r="C483" s="35"/>
      <c r="D483" s="35"/>
      <c r="E483" s="35"/>
      <c r="F483" s="35"/>
      <c r="G483" s="35"/>
      <c r="H483" s="35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</row>
    <row r="484" spans="1:26">
      <c r="A484" s="35"/>
      <c r="B484" s="35"/>
      <c r="C484" s="35"/>
      <c r="D484" s="35"/>
      <c r="E484" s="35"/>
      <c r="F484" s="35"/>
      <c r="G484" s="35"/>
      <c r="H484" s="35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</row>
    <row r="485" spans="1:26">
      <c r="A485" s="35"/>
      <c r="B485" s="35"/>
      <c r="C485" s="35"/>
      <c r="D485" s="35"/>
      <c r="E485" s="35"/>
      <c r="F485" s="35"/>
      <c r="G485" s="35"/>
      <c r="H485" s="35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</row>
    <row r="486" spans="1:26">
      <c r="A486" s="35"/>
      <c r="B486" s="35"/>
      <c r="C486" s="35"/>
      <c r="D486" s="35"/>
      <c r="E486" s="35"/>
      <c r="F486" s="35"/>
      <c r="G486" s="35"/>
      <c r="H486" s="35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</row>
    <row r="487" spans="1:26">
      <c r="A487" s="35"/>
      <c r="B487" s="35"/>
      <c r="C487" s="35"/>
      <c r="D487" s="35"/>
      <c r="E487" s="35"/>
      <c r="F487" s="35"/>
      <c r="G487" s="35"/>
      <c r="H487" s="35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</row>
    <row r="488" spans="1:26">
      <c r="A488" s="35"/>
      <c r="B488" s="35"/>
      <c r="C488" s="35"/>
      <c r="D488" s="35"/>
      <c r="E488" s="35"/>
      <c r="F488" s="35"/>
      <c r="G488" s="35"/>
      <c r="H488" s="35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</row>
    <row r="489" spans="1:26">
      <c r="A489" s="35"/>
      <c r="B489" s="35"/>
      <c r="C489" s="35"/>
      <c r="D489" s="35"/>
      <c r="E489" s="35"/>
      <c r="F489" s="35"/>
      <c r="G489" s="35"/>
      <c r="H489" s="35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</row>
    <row r="490" spans="1:26">
      <c r="A490" s="35"/>
      <c r="B490" s="35"/>
      <c r="C490" s="35"/>
      <c r="D490" s="35"/>
      <c r="E490" s="35"/>
      <c r="F490" s="35"/>
      <c r="G490" s="35"/>
      <c r="H490" s="35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</row>
    <row r="491" spans="1:26">
      <c r="A491" s="35"/>
      <c r="B491" s="35"/>
      <c r="C491" s="35"/>
      <c r="D491" s="35"/>
      <c r="E491" s="35"/>
      <c r="F491" s="35"/>
      <c r="G491" s="35"/>
      <c r="H491" s="35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</row>
    <row r="492" spans="1:26">
      <c r="A492" s="35"/>
      <c r="B492" s="35"/>
      <c r="C492" s="35"/>
      <c r="D492" s="35"/>
      <c r="E492" s="35"/>
      <c r="F492" s="35"/>
      <c r="G492" s="35"/>
      <c r="H492" s="35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</row>
    <row r="493" spans="1:26">
      <c r="A493" s="35"/>
      <c r="B493" s="35"/>
      <c r="C493" s="35"/>
      <c r="D493" s="35"/>
      <c r="E493" s="35"/>
      <c r="F493" s="35"/>
      <c r="G493" s="35"/>
      <c r="H493" s="35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</row>
    <row r="494" spans="1:26">
      <c r="A494" s="35"/>
      <c r="B494" s="35"/>
      <c r="C494" s="35"/>
      <c r="D494" s="35"/>
      <c r="E494" s="35"/>
      <c r="F494" s="35"/>
      <c r="G494" s="35"/>
      <c r="H494" s="35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</row>
    <row r="495" spans="1:26">
      <c r="A495" s="35"/>
      <c r="B495" s="35"/>
      <c r="C495" s="35"/>
      <c r="D495" s="35"/>
      <c r="E495" s="35"/>
      <c r="F495" s="35"/>
      <c r="G495" s="35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</row>
    <row r="496" spans="1:26">
      <c r="A496" s="35"/>
      <c r="B496" s="35"/>
      <c r="C496" s="35"/>
      <c r="D496" s="35"/>
      <c r="E496" s="35"/>
      <c r="F496" s="35"/>
      <c r="G496" s="35"/>
      <c r="H496" s="35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</row>
    <row r="497" spans="1:26">
      <c r="A497" s="35"/>
      <c r="B497" s="35"/>
      <c r="C497" s="35"/>
      <c r="D497" s="35"/>
      <c r="E497" s="35"/>
      <c r="F497" s="35"/>
      <c r="G497" s="35"/>
      <c r="H497" s="35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</row>
    <row r="498" spans="1:26">
      <c r="A498" s="35"/>
      <c r="B498" s="35"/>
      <c r="C498" s="35"/>
      <c r="D498" s="35"/>
      <c r="E498" s="35"/>
      <c r="F498" s="35"/>
      <c r="G498" s="35"/>
      <c r="H498" s="35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</row>
    <row r="499" spans="1:26">
      <c r="A499" s="35"/>
      <c r="B499" s="35"/>
      <c r="C499" s="35"/>
      <c r="D499" s="35"/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</row>
    <row r="500" spans="1:26">
      <c r="A500" s="35"/>
      <c r="B500" s="35"/>
      <c r="C500" s="35"/>
      <c r="D500" s="35"/>
      <c r="E500" s="35"/>
      <c r="F500" s="35"/>
      <c r="G500" s="35"/>
      <c r="H500" s="35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</row>
    <row r="501" spans="1:26">
      <c r="A501" s="35"/>
      <c r="B501" s="35"/>
      <c r="C501" s="35"/>
      <c r="D501" s="35"/>
      <c r="E501" s="35"/>
      <c r="F501" s="35"/>
      <c r="G501" s="35"/>
      <c r="H501" s="35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</row>
    <row r="502" spans="1:26">
      <c r="A502" s="35"/>
      <c r="B502" s="35"/>
      <c r="C502" s="35"/>
      <c r="D502" s="35"/>
      <c r="E502" s="35"/>
      <c r="F502" s="35"/>
      <c r="G502" s="35"/>
      <c r="H502" s="35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</row>
    <row r="503" spans="1:26">
      <c r="A503" s="35"/>
      <c r="B503" s="35"/>
      <c r="C503" s="35"/>
      <c r="D503" s="35"/>
      <c r="E503" s="35"/>
      <c r="F503" s="35"/>
      <c r="G503" s="35"/>
      <c r="H503" s="35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</row>
    <row r="504" spans="1:26">
      <c r="A504" s="35"/>
      <c r="B504" s="35"/>
      <c r="C504" s="35"/>
      <c r="D504" s="35"/>
      <c r="E504" s="35"/>
      <c r="F504" s="35"/>
      <c r="G504" s="35"/>
      <c r="H504" s="35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</row>
    <row r="505" spans="1:26">
      <c r="A505" s="35"/>
      <c r="B505" s="35"/>
      <c r="C505" s="35"/>
      <c r="D505" s="35"/>
      <c r="E505" s="35"/>
      <c r="F505" s="35"/>
      <c r="G505" s="35"/>
      <c r="H505" s="35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</row>
    <row r="506" spans="1:26">
      <c r="A506" s="35"/>
      <c r="B506" s="35"/>
      <c r="C506" s="35"/>
      <c r="D506" s="35"/>
      <c r="E506" s="35"/>
      <c r="F506" s="35"/>
      <c r="G506" s="35"/>
      <c r="H506" s="35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</row>
    <row r="507" spans="1:26">
      <c r="A507" s="35"/>
      <c r="B507" s="35"/>
      <c r="C507" s="35"/>
      <c r="D507" s="35"/>
      <c r="E507" s="35"/>
      <c r="F507" s="35"/>
      <c r="G507" s="35"/>
      <c r="H507" s="35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</row>
    <row r="508" spans="1:26">
      <c r="A508" s="35"/>
      <c r="B508" s="35"/>
      <c r="C508" s="35"/>
      <c r="D508" s="35"/>
      <c r="E508" s="35"/>
      <c r="F508" s="35"/>
      <c r="G508" s="35"/>
      <c r="H508" s="35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</row>
    <row r="509" spans="1:26">
      <c r="A509" s="35"/>
      <c r="B509" s="35"/>
      <c r="C509" s="35"/>
      <c r="D509" s="35"/>
      <c r="E509" s="35"/>
      <c r="F509" s="35"/>
      <c r="G509" s="35"/>
      <c r="H509" s="35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</row>
    <row r="510" spans="1:26">
      <c r="A510" s="35"/>
      <c r="B510" s="35"/>
      <c r="C510" s="35"/>
      <c r="D510" s="35"/>
      <c r="E510" s="35"/>
      <c r="F510" s="35"/>
      <c r="G510" s="35"/>
      <c r="H510" s="35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</row>
    <row r="511" spans="1:26">
      <c r="A511" s="35"/>
      <c r="B511" s="35"/>
      <c r="C511" s="35"/>
      <c r="D511" s="35"/>
      <c r="E511" s="35"/>
      <c r="F511" s="35"/>
      <c r="G511" s="35"/>
      <c r="H511" s="35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</row>
    <row r="512" spans="1:26">
      <c r="A512" s="35"/>
      <c r="B512" s="35"/>
      <c r="C512" s="35"/>
      <c r="D512" s="35"/>
      <c r="E512" s="35"/>
      <c r="F512" s="35"/>
      <c r="G512" s="35"/>
      <c r="H512" s="35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</row>
    <row r="513" spans="1:26">
      <c r="A513" s="35"/>
      <c r="B513" s="35"/>
      <c r="C513" s="35"/>
      <c r="D513" s="35"/>
      <c r="E513" s="35"/>
      <c r="F513" s="35"/>
      <c r="G513" s="35"/>
      <c r="H513" s="35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</row>
    <row r="514" spans="1:26">
      <c r="A514" s="35"/>
      <c r="B514" s="35"/>
      <c r="C514" s="35"/>
      <c r="D514" s="35"/>
      <c r="E514" s="35"/>
      <c r="F514" s="35"/>
      <c r="G514" s="35"/>
      <c r="H514" s="35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</row>
    <row r="515" spans="1:26">
      <c r="A515" s="35"/>
      <c r="B515" s="35"/>
      <c r="C515" s="35"/>
      <c r="D515" s="35"/>
      <c r="E515" s="35"/>
      <c r="F515" s="35"/>
      <c r="G515" s="35"/>
      <c r="H515" s="35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</row>
    <row r="516" spans="1:26">
      <c r="A516" s="35"/>
      <c r="B516" s="35"/>
      <c r="C516" s="35"/>
      <c r="D516" s="35"/>
      <c r="E516" s="35"/>
      <c r="F516" s="35"/>
      <c r="G516" s="35"/>
      <c r="H516" s="35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</row>
    <row r="517" spans="1:26">
      <c r="A517" s="35"/>
      <c r="B517" s="35"/>
      <c r="C517" s="35"/>
      <c r="D517" s="35"/>
      <c r="E517" s="35"/>
      <c r="F517" s="35"/>
      <c r="G517" s="35"/>
      <c r="H517" s="35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</row>
    <row r="518" spans="1:26">
      <c r="A518" s="35"/>
      <c r="B518" s="35"/>
      <c r="C518" s="35"/>
      <c r="D518" s="35"/>
      <c r="E518" s="35"/>
      <c r="F518" s="35"/>
      <c r="G518" s="35"/>
      <c r="H518" s="35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</row>
    <row r="519" spans="1:26">
      <c r="A519" s="35"/>
      <c r="B519" s="35"/>
      <c r="C519" s="35"/>
      <c r="D519" s="35"/>
      <c r="E519" s="35"/>
      <c r="F519" s="35"/>
      <c r="G519" s="35"/>
      <c r="H519" s="35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</row>
    <row r="520" spans="1:26">
      <c r="A520" s="35"/>
      <c r="B520" s="35"/>
      <c r="C520" s="35"/>
      <c r="D520" s="35"/>
      <c r="E520" s="35"/>
      <c r="F520" s="35"/>
      <c r="G520" s="35"/>
      <c r="H520" s="35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</row>
    <row r="521" spans="1:26">
      <c r="A521" s="35"/>
      <c r="B521" s="35"/>
      <c r="C521" s="35"/>
      <c r="D521" s="35"/>
      <c r="E521" s="35"/>
      <c r="F521" s="35"/>
      <c r="G521" s="35"/>
      <c r="H521" s="35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</row>
    <row r="522" spans="1:26">
      <c r="A522" s="35"/>
      <c r="B522" s="35"/>
      <c r="C522" s="35"/>
      <c r="D522" s="35"/>
      <c r="E522" s="35"/>
      <c r="F522" s="35"/>
      <c r="G522" s="35"/>
      <c r="H522" s="35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</row>
    <row r="523" spans="1:26">
      <c r="A523" s="35"/>
      <c r="B523" s="35"/>
      <c r="C523" s="35"/>
      <c r="D523" s="35"/>
      <c r="E523" s="35"/>
      <c r="F523" s="35"/>
      <c r="G523" s="35"/>
      <c r="H523" s="35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</row>
    <row r="524" spans="1:26">
      <c r="A524" s="35"/>
      <c r="B524" s="35"/>
      <c r="C524" s="35"/>
      <c r="D524" s="35"/>
      <c r="E524" s="35"/>
      <c r="F524" s="35"/>
      <c r="G524" s="35"/>
      <c r="H524" s="35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</row>
    <row r="525" spans="1:26">
      <c r="A525" s="35"/>
      <c r="B525" s="35"/>
      <c r="C525" s="35"/>
      <c r="D525" s="35"/>
      <c r="E525" s="35"/>
      <c r="F525" s="35"/>
      <c r="G525" s="35"/>
      <c r="H525" s="35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</row>
    <row r="526" spans="1:26">
      <c r="A526" s="35"/>
      <c r="B526" s="35"/>
      <c r="C526" s="35"/>
      <c r="D526" s="35"/>
      <c r="E526" s="35"/>
      <c r="F526" s="35"/>
      <c r="G526" s="35"/>
      <c r="H526" s="35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</row>
    <row r="527" spans="1:26">
      <c r="A527" s="35"/>
      <c r="B527" s="35"/>
      <c r="C527" s="35"/>
      <c r="D527" s="35"/>
      <c r="E527" s="35"/>
      <c r="F527" s="35"/>
      <c r="G527" s="35"/>
      <c r="H527" s="35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</row>
    <row r="528" spans="1:26">
      <c r="A528" s="35"/>
      <c r="B528" s="35"/>
      <c r="C528" s="35"/>
      <c r="D528" s="35"/>
      <c r="E528" s="35"/>
      <c r="F528" s="35"/>
      <c r="G528" s="35"/>
      <c r="H528" s="35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</row>
    <row r="529" spans="1:26">
      <c r="A529" s="35"/>
      <c r="B529" s="35"/>
      <c r="C529" s="35"/>
      <c r="D529" s="35"/>
      <c r="E529" s="35"/>
      <c r="F529" s="35"/>
      <c r="G529" s="35"/>
      <c r="H529" s="35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</row>
    <row r="530" spans="1:26">
      <c r="A530" s="35"/>
      <c r="B530" s="35"/>
      <c r="C530" s="35"/>
      <c r="D530" s="35"/>
      <c r="E530" s="35"/>
      <c r="F530" s="35"/>
      <c r="G530" s="35"/>
      <c r="H530" s="35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</row>
    <row r="531" spans="1:26">
      <c r="A531" s="35"/>
      <c r="B531" s="35"/>
      <c r="C531" s="35"/>
      <c r="D531" s="35"/>
      <c r="E531" s="35"/>
      <c r="F531" s="35"/>
      <c r="G531" s="35"/>
      <c r="H531" s="35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</row>
    <row r="532" spans="1:26">
      <c r="A532" s="35"/>
      <c r="B532" s="35"/>
      <c r="C532" s="35"/>
      <c r="D532" s="35"/>
      <c r="E532" s="35"/>
      <c r="F532" s="35"/>
      <c r="G532" s="35"/>
      <c r="H532" s="35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</row>
    <row r="533" spans="1:26">
      <c r="A533" s="35"/>
      <c r="B533" s="35"/>
      <c r="C533" s="35"/>
      <c r="D533" s="35"/>
      <c r="E533" s="35"/>
      <c r="F533" s="35"/>
      <c r="G533" s="35"/>
      <c r="H533" s="35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</row>
    <row r="534" spans="1:26">
      <c r="A534" s="35"/>
      <c r="B534" s="35"/>
      <c r="C534" s="35"/>
      <c r="D534" s="35"/>
      <c r="E534" s="35"/>
      <c r="F534" s="35"/>
      <c r="G534" s="35"/>
      <c r="H534" s="35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</row>
    <row r="535" spans="1:26">
      <c r="A535" s="35"/>
      <c r="B535" s="35"/>
      <c r="C535" s="35"/>
      <c r="D535" s="35"/>
      <c r="E535" s="35"/>
      <c r="F535" s="35"/>
      <c r="G535" s="35"/>
      <c r="H535" s="35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</row>
    <row r="536" spans="1:26">
      <c r="A536" s="35"/>
      <c r="B536" s="35"/>
      <c r="C536" s="35"/>
      <c r="D536" s="35"/>
      <c r="E536" s="35"/>
      <c r="F536" s="35"/>
      <c r="G536" s="35"/>
      <c r="H536" s="35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</row>
    <row r="537" spans="1:26">
      <c r="A537" s="35"/>
      <c r="B537" s="35"/>
      <c r="C537" s="35"/>
      <c r="D537" s="35"/>
      <c r="E537" s="35"/>
      <c r="F537" s="35"/>
      <c r="G537" s="35"/>
      <c r="H537" s="35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</row>
    <row r="538" spans="1:26">
      <c r="A538" s="35"/>
      <c r="B538" s="35"/>
      <c r="C538" s="35"/>
      <c r="D538" s="35"/>
      <c r="E538" s="35"/>
      <c r="F538" s="35"/>
      <c r="G538" s="35"/>
      <c r="H538" s="35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</row>
    <row r="539" spans="1:26">
      <c r="A539" s="35"/>
      <c r="B539" s="35"/>
      <c r="C539" s="35"/>
      <c r="D539" s="35"/>
      <c r="E539" s="35"/>
      <c r="F539" s="35"/>
      <c r="G539" s="35"/>
      <c r="H539" s="35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</row>
    <row r="540" spans="1:26">
      <c r="A540" s="35"/>
      <c r="B540" s="35"/>
      <c r="C540" s="35"/>
      <c r="D540" s="35"/>
      <c r="E540" s="35"/>
      <c r="F540" s="35"/>
      <c r="G540" s="35"/>
      <c r="H540" s="35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</row>
    <row r="541" spans="1:26">
      <c r="A541" s="35"/>
      <c r="B541" s="35"/>
      <c r="C541" s="35"/>
      <c r="D541" s="35"/>
      <c r="E541" s="35"/>
      <c r="F541" s="35"/>
      <c r="G541" s="35"/>
      <c r="H541" s="35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</row>
    <row r="542" spans="1:26">
      <c r="A542" s="35"/>
      <c r="B542" s="35"/>
      <c r="C542" s="35"/>
      <c r="D542" s="35"/>
      <c r="E542" s="35"/>
      <c r="F542" s="35"/>
      <c r="G542" s="35"/>
      <c r="H542" s="35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</row>
    <row r="543" spans="1:26">
      <c r="A543" s="35"/>
      <c r="B543" s="35"/>
      <c r="C543" s="35"/>
      <c r="D543" s="35"/>
      <c r="E543" s="35"/>
      <c r="F543" s="35"/>
      <c r="G543" s="35"/>
      <c r="H543" s="35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</row>
    <row r="544" spans="1:26">
      <c r="A544" s="35"/>
      <c r="B544" s="35"/>
      <c r="C544" s="35"/>
      <c r="D544" s="35"/>
      <c r="E544" s="35"/>
      <c r="F544" s="35"/>
      <c r="G544" s="35"/>
      <c r="H544" s="35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</row>
    <row r="545" spans="1:26">
      <c r="A545" s="35"/>
      <c r="B545" s="35"/>
      <c r="C545" s="35"/>
      <c r="D545" s="35"/>
      <c r="E545" s="35"/>
      <c r="F545" s="35"/>
      <c r="G545" s="35"/>
      <c r="H545" s="35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</row>
    <row r="546" spans="1:26">
      <c r="A546" s="35"/>
      <c r="B546" s="35"/>
      <c r="C546" s="35"/>
      <c r="D546" s="35"/>
      <c r="E546" s="35"/>
      <c r="F546" s="35"/>
      <c r="G546" s="35"/>
      <c r="H546" s="35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</row>
    <row r="547" spans="1:26">
      <c r="A547" s="35"/>
      <c r="B547" s="35"/>
      <c r="C547" s="35"/>
      <c r="D547" s="35"/>
      <c r="E547" s="35"/>
      <c r="F547" s="35"/>
      <c r="G547" s="35"/>
      <c r="H547" s="35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</row>
    <row r="548" spans="1:26">
      <c r="A548" s="35"/>
      <c r="B548" s="35"/>
      <c r="C548" s="35"/>
      <c r="D548" s="35"/>
      <c r="E548" s="35"/>
      <c r="F548" s="35"/>
      <c r="G548" s="35"/>
      <c r="H548" s="35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</row>
    <row r="549" spans="1:26">
      <c r="A549" s="35"/>
      <c r="B549" s="35"/>
      <c r="C549" s="35"/>
      <c r="D549" s="35"/>
      <c r="E549" s="35"/>
      <c r="F549" s="35"/>
      <c r="G549" s="35"/>
      <c r="H549" s="35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</row>
    <row r="550" spans="1:26">
      <c r="A550" s="35"/>
      <c r="B550" s="35"/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</row>
    <row r="551" spans="1:26">
      <c r="A551" s="35"/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</row>
    <row r="552" spans="1:26">
      <c r="A552" s="35"/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</row>
    <row r="553" spans="1:26">
      <c r="A553" s="35"/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</row>
    <row r="554" spans="1:26">
      <c r="A554" s="35"/>
      <c r="B554" s="35"/>
      <c r="C554" s="35"/>
      <c r="D554" s="35"/>
      <c r="E554" s="35"/>
      <c r="F554" s="35"/>
      <c r="G554" s="35"/>
      <c r="H554" s="35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</row>
    <row r="555" spans="1:26">
      <c r="A555" s="35"/>
      <c r="B555" s="35"/>
      <c r="C555" s="35"/>
      <c r="D555" s="35"/>
      <c r="E555" s="35"/>
      <c r="F555" s="35"/>
      <c r="G555" s="35"/>
      <c r="H555" s="35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</row>
    <row r="556" spans="1:26">
      <c r="A556" s="35"/>
      <c r="B556" s="35"/>
      <c r="C556" s="35"/>
      <c r="D556" s="35"/>
      <c r="E556" s="35"/>
      <c r="F556" s="35"/>
      <c r="G556" s="35"/>
      <c r="H556" s="35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</row>
    <row r="557" spans="1:26">
      <c r="A557" s="35"/>
      <c r="B557" s="35"/>
      <c r="C557" s="35"/>
      <c r="D557" s="35"/>
      <c r="E557" s="35"/>
      <c r="F557" s="35"/>
      <c r="G557" s="35"/>
      <c r="H557" s="35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</row>
    <row r="558" spans="1:26">
      <c r="A558" s="35"/>
      <c r="B558" s="35"/>
      <c r="C558" s="35"/>
      <c r="D558" s="35"/>
      <c r="E558" s="35"/>
      <c r="F558" s="35"/>
      <c r="G558" s="35"/>
      <c r="H558" s="35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</row>
    <row r="559" spans="1:26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</row>
    <row r="560" spans="1:26">
      <c r="A560" s="35"/>
      <c r="B560" s="35"/>
      <c r="C560" s="35"/>
      <c r="D560" s="35"/>
      <c r="E560" s="35"/>
      <c r="F560" s="35"/>
      <c r="G560" s="35"/>
      <c r="H560" s="35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</row>
    <row r="561" spans="1:26">
      <c r="A561" s="35"/>
      <c r="B561" s="35"/>
      <c r="C561" s="35"/>
      <c r="D561" s="35"/>
      <c r="E561" s="35"/>
      <c r="F561" s="35"/>
      <c r="G561" s="35"/>
      <c r="H561" s="35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</row>
    <row r="562" spans="1:26">
      <c r="A562" s="35"/>
      <c r="B562" s="35"/>
      <c r="C562" s="35"/>
      <c r="D562" s="35"/>
      <c r="E562" s="35"/>
      <c r="F562" s="35"/>
      <c r="G562" s="35"/>
      <c r="H562" s="35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</row>
    <row r="563" spans="1:26">
      <c r="A563" s="35"/>
      <c r="B563" s="35"/>
      <c r="C563" s="35"/>
      <c r="D563" s="35"/>
      <c r="E563" s="35"/>
      <c r="F563" s="35"/>
      <c r="G563" s="35"/>
      <c r="H563" s="35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</row>
    <row r="564" spans="1:26">
      <c r="A564" s="35"/>
      <c r="B564" s="35"/>
      <c r="C564" s="35"/>
      <c r="D564" s="35"/>
      <c r="E564" s="35"/>
      <c r="F564" s="35"/>
      <c r="G564" s="35"/>
      <c r="H564" s="35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</row>
    <row r="565" spans="1:26">
      <c r="A565" s="35"/>
      <c r="B565" s="35"/>
      <c r="C565" s="35"/>
      <c r="D565" s="35"/>
      <c r="E565" s="35"/>
      <c r="F565" s="35"/>
      <c r="G565" s="35"/>
      <c r="H565" s="35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</row>
    <row r="566" spans="1:26">
      <c r="A566" s="35"/>
      <c r="B566" s="35"/>
      <c r="C566" s="35"/>
      <c r="D566" s="35"/>
      <c r="E566" s="35"/>
      <c r="F566" s="35"/>
      <c r="G566" s="35"/>
      <c r="H566" s="35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</row>
    <row r="567" spans="1:26">
      <c r="A567" s="35"/>
      <c r="B567" s="35"/>
      <c r="C567" s="35"/>
      <c r="D567" s="35"/>
      <c r="E567" s="35"/>
      <c r="F567" s="35"/>
      <c r="G567" s="35"/>
      <c r="H567" s="35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</row>
    <row r="568" spans="1:26">
      <c r="A568" s="35"/>
      <c r="B568" s="35"/>
      <c r="C568" s="35"/>
      <c r="D568" s="35"/>
      <c r="E568" s="35"/>
      <c r="F568" s="35"/>
      <c r="G568" s="35"/>
      <c r="H568" s="35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</row>
    <row r="569" spans="1:26">
      <c r="A569" s="35"/>
      <c r="B569" s="35"/>
      <c r="C569" s="35"/>
      <c r="D569" s="35"/>
      <c r="E569" s="35"/>
      <c r="F569" s="35"/>
      <c r="G569" s="35"/>
      <c r="H569" s="35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</row>
    <row r="570" spans="1:26">
      <c r="A570" s="35"/>
      <c r="B570" s="35"/>
      <c r="C570" s="35"/>
      <c r="D570" s="35"/>
      <c r="E570" s="35"/>
      <c r="F570" s="35"/>
      <c r="G570" s="35"/>
      <c r="H570" s="35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</row>
    <row r="571" spans="1:26">
      <c r="A571" s="35"/>
      <c r="B571" s="35"/>
      <c r="C571" s="35"/>
      <c r="D571" s="35"/>
      <c r="E571" s="35"/>
      <c r="F571" s="35"/>
      <c r="G571" s="35"/>
      <c r="H571" s="35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</row>
    <row r="572" spans="1:26">
      <c r="A572" s="35"/>
      <c r="B572" s="35"/>
      <c r="C572" s="35"/>
      <c r="D572" s="35"/>
      <c r="E572" s="35"/>
      <c r="F572" s="35"/>
      <c r="G572" s="35"/>
      <c r="H572" s="35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</row>
    <row r="573" spans="1:26">
      <c r="A573" s="35"/>
      <c r="B573" s="35"/>
      <c r="C573" s="35"/>
      <c r="D573" s="35"/>
      <c r="E573" s="35"/>
      <c r="F573" s="35"/>
      <c r="G573" s="35"/>
      <c r="H573" s="35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</row>
    <row r="574" spans="1:26">
      <c r="A574" s="35"/>
      <c r="B574" s="35"/>
      <c r="C574" s="35"/>
      <c r="D574" s="35"/>
      <c r="E574" s="35"/>
      <c r="F574" s="35"/>
      <c r="G574" s="35"/>
      <c r="H574" s="35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</row>
    <row r="575" spans="1:26">
      <c r="A575" s="35"/>
      <c r="B575" s="35"/>
      <c r="C575" s="35"/>
      <c r="D575" s="35"/>
      <c r="E575" s="35"/>
      <c r="F575" s="35"/>
      <c r="G575" s="35"/>
      <c r="H575" s="35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</row>
    <row r="576" spans="1:26">
      <c r="A576" s="35"/>
      <c r="B576" s="35"/>
      <c r="C576" s="35"/>
      <c r="D576" s="35"/>
      <c r="E576" s="35"/>
      <c r="F576" s="35"/>
      <c r="G576" s="35"/>
      <c r="H576" s="35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</row>
    <row r="577" spans="1:26">
      <c r="A577" s="35"/>
      <c r="B577" s="35"/>
      <c r="C577" s="35"/>
      <c r="D577" s="35"/>
      <c r="E577" s="35"/>
      <c r="F577" s="35"/>
      <c r="G577" s="35"/>
      <c r="H577" s="35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</row>
    <row r="578" spans="1:26">
      <c r="A578" s="35"/>
      <c r="B578" s="35"/>
      <c r="C578" s="35"/>
      <c r="D578" s="35"/>
      <c r="E578" s="35"/>
      <c r="F578" s="35"/>
      <c r="G578" s="35"/>
      <c r="H578" s="35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</row>
    <row r="579" spans="1:26">
      <c r="A579" s="35"/>
      <c r="B579" s="35"/>
      <c r="C579" s="35"/>
      <c r="D579" s="35"/>
      <c r="E579" s="35"/>
      <c r="F579" s="35"/>
      <c r="G579" s="35"/>
      <c r="H579" s="35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</row>
    <row r="580" spans="1:26">
      <c r="A580" s="35"/>
      <c r="B580" s="35"/>
      <c r="C580" s="35"/>
      <c r="D580" s="35"/>
      <c r="E580" s="35"/>
      <c r="F580" s="35"/>
      <c r="G580" s="35"/>
      <c r="H580" s="35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</row>
    <row r="581" spans="1:26">
      <c r="A581" s="35"/>
      <c r="B581" s="35"/>
      <c r="C581" s="35"/>
      <c r="D581" s="35"/>
      <c r="E581" s="35"/>
      <c r="F581" s="35"/>
      <c r="G581" s="35"/>
      <c r="H581" s="35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</row>
    <row r="582" spans="1:26">
      <c r="A582" s="35"/>
      <c r="B582" s="35"/>
      <c r="C582" s="35"/>
      <c r="D582" s="35"/>
      <c r="E582" s="35"/>
      <c r="F582" s="35"/>
      <c r="G582" s="35"/>
      <c r="H582" s="35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</row>
    <row r="583" spans="1:26">
      <c r="A583" s="35"/>
      <c r="B583" s="35"/>
      <c r="C583" s="35"/>
      <c r="D583" s="35"/>
      <c r="E583" s="35"/>
      <c r="F583" s="35"/>
      <c r="G583" s="35"/>
      <c r="H583" s="35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</row>
    <row r="584" spans="1:26">
      <c r="A584" s="35"/>
      <c r="B584" s="35"/>
      <c r="C584" s="35"/>
      <c r="D584" s="35"/>
      <c r="E584" s="35"/>
      <c r="F584" s="35"/>
      <c r="G584" s="35"/>
      <c r="H584" s="35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</row>
    <row r="585" spans="1:26">
      <c r="A585" s="35"/>
      <c r="B585" s="35"/>
      <c r="C585" s="35"/>
      <c r="D585" s="35"/>
      <c r="E585" s="35"/>
      <c r="F585" s="35"/>
      <c r="G585" s="35"/>
      <c r="H585" s="35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</row>
    <row r="586" spans="1:26">
      <c r="A586" s="35"/>
      <c r="B586" s="35"/>
      <c r="C586" s="35"/>
      <c r="D586" s="35"/>
      <c r="E586" s="35"/>
      <c r="F586" s="35"/>
      <c r="G586" s="35"/>
      <c r="H586" s="35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</row>
    <row r="587" spans="1:26">
      <c r="A587" s="35"/>
      <c r="B587" s="35"/>
      <c r="C587" s="35"/>
      <c r="D587" s="35"/>
      <c r="E587" s="35"/>
      <c r="F587" s="35"/>
      <c r="G587" s="35"/>
      <c r="H587" s="35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</row>
    <row r="588" spans="1:26">
      <c r="A588" s="35"/>
      <c r="B588" s="35"/>
      <c r="C588" s="35"/>
      <c r="D588" s="35"/>
      <c r="E588" s="35"/>
      <c r="F588" s="35"/>
      <c r="G588" s="35"/>
      <c r="H588" s="35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</row>
    <row r="589" spans="1:26">
      <c r="A589" s="35"/>
      <c r="B589" s="35"/>
      <c r="C589" s="35"/>
      <c r="D589" s="35"/>
      <c r="E589" s="35"/>
      <c r="F589" s="35"/>
      <c r="G589" s="35"/>
      <c r="H589" s="35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</row>
    <row r="590" spans="1:26">
      <c r="A590" s="35"/>
      <c r="B590" s="35"/>
      <c r="C590" s="35"/>
      <c r="D590" s="35"/>
      <c r="E590" s="35"/>
      <c r="F590" s="35"/>
      <c r="G590" s="35"/>
      <c r="H590" s="35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</row>
    <row r="591" spans="1:26">
      <c r="A591" s="35"/>
      <c r="B591" s="35"/>
      <c r="C591" s="35"/>
      <c r="D591" s="35"/>
      <c r="E591" s="35"/>
      <c r="F591" s="35"/>
      <c r="G591" s="35"/>
      <c r="H591" s="35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</row>
    <row r="592" spans="1:26">
      <c r="A592" s="35"/>
      <c r="B592" s="35"/>
      <c r="C592" s="35"/>
      <c r="D592" s="35"/>
      <c r="E592" s="35"/>
      <c r="F592" s="35"/>
      <c r="G592" s="35"/>
      <c r="H592" s="35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</row>
    <row r="593" spans="1:26">
      <c r="A593" s="35"/>
      <c r="B593" s="35"/>
      <c r="C593" s="35"/>
      <c r="D593" s="35"/>
      <c r="E593" s="35"/>
      <c r="F593" s="35"/>
      <c r="G593" s="35"/>
      <c r="H593" s="35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</row>
    <row r="594" spans="1:26">
      <c r="A594" s="35"/>
      <c r="B594" s="35"/>
      <c r="C594" s="35"/>
      <c r="D594" s="35"/>
      <c r="E594" s="35"/>
      <c r="F594" s="35"/>
      <c r="G594" s="35"/>
      <c r="H594" s="35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</row>
    <row r="595" spans="1:26">
      <c r="A595" s="35"/>
      <c r="B595" s="35"/>
      <c r="C595" s="35"/>
      <c r="D595" s="35"/>
      <c r="E595" s="35"/>
      <c r="F595" s="35"/>
      <c r="G595" s="35"/>
      <c r="H595" s="35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</row>
    <row r="596" spans="1:26">
      <c r="A596" s="35"/>
      <c r="B596" s="35"/>
      <c r="C596" s="35"/>
      <c r="D596" s="35"/>
      <c r="E596" s="35"/>
      <c r="F596" s="35"/>
      <c r="G596" s="35"/>
      <c r="H596" s="35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</row>
    <row r="597" spans="1:26">
      <c r="A597" s="35"/>
      <c r="B597" s="35"/>
      <c r="C597" s="35"/>
      <c r="D597" s="35"/>
      <c r="E597" s="35"/>
      <c r="F597" s="35"/>
      <c r="G597" s="35"/>
      <c r="H597" s="35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</row>
    <row r="598" spans="1:26">
      <c r="A598" s="35"/>
      <c r="B598" s="35"/>
      <c r="C598" s="35"/>
      <c r="D598" s="35"/>
      <c r="E598" s="35"/>
      <c r="F598" s="35"/>
      <c r="G598" s="35"/>
      <c r="H598" s="35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</row>
    <row r="599" spans="1:26">
      <c r="A599" s="35"/>
      <c r="B599" s="35"/>
      <c r="C599" s="35"/>
      <c r="D599" s="35"/>
      <c r="E599" s="35"/>
      <c r="F599" s="35"/>
      <c r="G599" s="35"/>
      <c r="H599" s="35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</row>
    <row r="600" spans="1:26">
      <c r="A600" s="35"/>
      <c r="B600" s="35"/>
      <c r="C600" s="35"/>
      <c r="D600" s="35"/>
      <c r="E600" s="35"/>
      <c r="F600" s="35"/>
      <c r="G600" s="35"/>
      <c r="H600" s="35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</row>
    <row r="601" spans="1:26">
      <c r="A601" s="35"/>
      <c r="B601" s="35"/>
      <c r="C601" s="35"/>
      <c r="D601" s="35"/>
      <c r="E601" s="35"/>
      <c r="F601" s="35"/>
      <c r="G601" s="35"/>
      <c r="H601" s="35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</row>
    <row r="602" spans="1:26">
      <c r="A602" s="35"/>
      <c r="B602" s="35"/>
      <c r="C602" s="35"/>
      <c r="D602" s="35"/>
      <c r="E602" s="35"/>
      <c r="F602" s="35"/>
      <c r="G602" s="35"/>
      <c r="H602" s="35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</row>
    <row r="603" spans="1:26">
      <c r="A603" s="35"/>
      <c r="B603" s="35"/>
      <c r="C603" s="35"/>
      <c r="D603" s="35"/>
      <c r="E603" s="35"/>
      <c r="F603" s="35"/>
      <c r="G603" s="35"/>
      <c r="H603" s="35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</row>
    <row r="604" spans="1:26">
      <c r="A604" s="35"/>
      <c r="B604" s="35"/>
      <c r="C604" s="35"/>
      <c r="D604" s="35"/>
      <c r="E604" s="35"/>
      <c r="F604" s="35"/>
      <c r="G604" s="35"/>
      <c r="H604" s="35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</row>
    <row r="605" spans="1:26">
      <c r="A605" s="35"/>
      <c r="B605" s="35"/>
      <c r="C605" s="35"/>
      <c r="D605" s="35"/>
      <c r="E605" s="35"/>
      <c r="F605" s="35"/>
      <c r="G605" s="35"/>
      <c r="H605" s="35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</row>
    <row r="606" spans="1:26">
      <c r="A606" s="35"/>
      <c r="B606" s="35"/>
      <c r="C606" s="35"/>
      <c r="D606" s="35"/>
      <c r="E606" s="35"/>
      <c r="F606" s="35"/>
      <c r="G606" s="35"/>
      <c r="H606" s="35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</row>
    <row r="607" spans="1:26">
      <c r="A607" s="35"/>
      <c r="B607" s="35"/>
      <c r="C607" s="35"/>
      <c r="D607" s="35"/>
      <c r="E607" s="35"/>
      <c r="F607" s="35"/>
      <c r="G607" s="35"/>
      <c r="H607" s="35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</row>
    <row r="608" spans="1:26">
      <c r="A608" s="35"/>
      <c r="B608" s="35"/>
      <c r="C608" s="35"/>
      <c r="D608" s="35"/>
      <c r="E608" s="35"/>
      <c r="F608" s="35"/>
      <c r="G608" s="35"/>
      <c r="H608" s="35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</row>
    <row r="609" spans="1:26">
      <c r="A609" s="35"/>
      <c r="B609" s="35"/>
      <c r="C609" s="35"/>
      <c r="D609" s="35"/>
      <c r="E609" s="35"/>
      <c r="F609" s="35"/>
      <c r="G609" s="35"/>
      <c r="H609" s="35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</row>
    <row r="610" spans="1:26">
      <c r="A610" s="35"/>
      <c r="B610" s="35"/>
      <c r="C610" s="35"/>
      <c r="D610" s="35"/>
      <c r="E610" s="35"/>
      <c r="F610" s="35"/>
      <c r="G610" s="35"/>
      <c r="H610" s="35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</row>
    <row r="611" spans="1:26">
      <c r="A611" s="35"/>
      <c r="B611" s="35"/>
      <c r="C611" s="35"/>
      <c r="D611" s="35"/>
      <c r="E611" s="35"/>
      <c r="F611" s="35"/>
      <c r="G611" s="35"/>
      <c r="H611" s="35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</row>
    <row r="612" spans="1:26">
      <c r="A612" s="35"/>
      <c r="B612" s="35"/>
      <c r="C612" s="35"/>
      <c r="D612" s="35"/>
      <c r="E612" s="35"/>
      <c r="F612" s="35"/>
      <c r="G612" s="35"/>
      <c r="H612" s="35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</row>
    <row r="613" spans="1:26">
      <c r="A613" s="35"/>
      <c r="B613" s="35"/>
      <c r="C613" s="35"/>
      <c r="D613" s="35"/>
      <c r="E613" s="35"/>
      <c r="F613" s="35"/>
      <c r="G613" s="35"/>
      <c r="H613" s="35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</row>
    <row r="614" spans="1:26">
      <c r="A614" s="35"/>
      <c r="B614" s="35"/>
      <c r="C614" s="35"/>
      <c r="D614" s="35"/>
      <c r="E614" s="35"/>
      <c r="F614" s="35"/>
      <c r="G614" s="35"/>
      <c r="H614" s="35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</row>
    <row r="615" spans="1:26">
      <c r="A615" s="35"/>
      <c r="B615" s="35"/>
      <c r="C615" s="35"/>
      <c r="D615" s="35"/>
      <c r="E615" s="35"/>
      <c r="F615" s="35"/>
      <c r="G615" s="35"/>
      <c r="H615" s="35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</row>
    <row r="616" spans="1:26">
      <c r="A616" s="35"/>
      <c r="B616" s="35"/>
      <c r="C616" s="35"/>
      <c r="D616" s="35"/>
      <c r="E616" s="35"/>
      <c r="F616" s="35"/>
      <c r="G616" s="35"/>
      <c r="H616" s="35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</row>
    <row r="617" spans="1:26">
      <c r="A617" s="35"/>
      <c r="B617" s="35"/>
      <c r="C617" s="35"/>
      <c r="D617" s="35"/>
      <c r="E617" s="35"/>
      <c r="F617" s="35"/>
      <c r="G617" s="35"/>
      <c r="H617" s="35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</row>
    <row r="618" spans="1:26">
      <c r="A618" s="35"/>
      <c r="B618" s="35"/>
      <c r="C618" s="35"/>
      <c r="D618" s="35"/>
      <c r="E618" s="35"/>
      <c r="F618" s="35"/>
      <c r="G618" s="35"/>
      <c r="H618" s="35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</row>
    <row r="619" spans="1:26">
      <c r="A619" s="35"/>
      <c r="B619" s="35"/>
      <c r="C619" s="35"/>
      <c r="D619" s="35"/>
      <c r="E619" s="35"/>
      <c r="F619" s="35"/>
      <c r="G619" s="35"/>
      <c r="H619" s="35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</row>
    <row r="620" spans="1:26">
      <c r="A620" s="35"/>
      <c r="B620" s="35"/>
      <c r="C620" s="35"/>
      <c r="D620" s="35"/>
      <c r="E620" s="35"/>
      <c r="F620" s="35"/>
      <c r="G620" s="35"/>
      <c r="H620" s="35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</row>
    <row r="621" spans="1:26">
      <c r="A621" s="35"/>
      <c r="B621" s="35"/>
      <c r="C621" s="35"/>
      <c r="D621" s="35"/>
      <c r="E621" s="35"/>
      <c r="F621" s="35"/>
      <c r="G621" s="35"/>
      <c r="H621" s="35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</row>
    <row r="622" spans="1:26">
      <c r="A622" s="35"/>
      <c r="B622" s="35"/>
      <c r="C622" s="35"/>
      <c r="D622" s="35"/>
      <c r="E622" s="35"/>
      <c r="F622" s="35"/>
      <c r="G622" s="35"/>
      <c r="H622" s="35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</row>
    <row r="623" spans="1:26">
      <c r="A623" s="35"/>
      <c r="B623" s="35"/>
      <c r="C623" s="35"/>
      <c r="D623" s="35"/>
      <c r="E623" s="35"/>
      <c r="F623" s="35"/>
      <c r="G623" s="35"/>
      <c r="H623" s="35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</row>
    <row r="624" spans="1:26">
      <c r="A624" s="35"/>
      <c r="B624" s="35"/>
      <c r="C624" s="35"/>
      <c r="D624" s="35"/>
      <c r="E624" s="35"/>
      <c r="F624" s="35"/>
      <c r="G624" s="35"/>
      <c r="H624" s="35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</row>
    <row r="625" spans="1:26">
      <c r="A625" s="35"/>
      <c r="B625" s="35"/>
      <c r="C625" s="35"/>
      <c r="D625" s="35"/>
      <c r="E625" s="35"/>
      <c r="F625" s="35"/>
      <c r="G625" s="35"/>
      <c r="H625" s="35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</row>
    <row r="626" spans="1:26">
      <c r="A626" s="35"/>
      <c r="B626" s="35"/>
      <c r="C626" s="35"/>
      <c r="D626" s="35"/>
      <c r="E626" s="35"/>
      <c r="F626" s="35"/>
      <c r="G626" s="35"/>
      <c r="H626" s="35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</row>
    <row r="627" spans="1:26">
      <c r="A627" s="35"/>
      <c r="B627" s="35"/>
      <c r="C627" s="35"/>
      <c r="D627" s="35"/>
      <c r="E627" s="35"/>
      <c r="F627" s="35"/>
      <c r="G627" s="35"/>
      <c r="H627" s="35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</row>
    <row r="628" spans="1:26">
      <c r="A628" s="35"/>
      <c r="B628" s="35"/>
      <c r="C628" s="35"/>
      <c r="D628" s="35"/>
      <c r="E628" s="35"/>
      <c r="F628" s="35"/>
      <c r="G628" s="35"/>
      <c r="H628" s="35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</row>
    <row r="629" spans="1:26">
      <c r="A629" s="35"/>
      <c r="B629" s="35"/>
      <c r="C629" s="35"/>
      <c r="D629" s="35"/>
      <c r="E629" s="35"/>
      <c r="F629" s="35"/>
      <c r="G629" s="35"/>
      <c r="H629" s="35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</row>
    <row r="630" spans="1:26">
      <c r="A630" s="35"/>
      <c r="B630" s="35"/>
      <c r="C630" s="35"/>
      <c r="D630" s="35"/>
      <c r="E630" s="35"/>
      <c r="F630" s="35"/>
      <c r="G630" s="35"/>
      <c r="H630" s="35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</row>
    <row r="631" spans="1:26">
      <c r="A631" s="35"/>
      <c r="B631" s="35"/>
      <c r="C631" s="35"/>
      <c r="D631" s="35"/>
      <c r="E631" s="35"/>
      <c r="F631" s="35"/>
      <c r="G631" s="35"/>
      <c r="H631" s="35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</row>
    <row r="632" spans="1:26">
      <c r="A632" s="35"/>
      <c r="B632" s="35"/>
      <c r="C632" s="35"/>
      <c r="D632" s="35"/>
      <c r="E632" s="35"/>
      <c r="F632" s="35"/>
      <c r="G632" s="35"/>
      <c r="H632" s="35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</row>
    <row r="633" spans="1:26">
      <c r="A633" s="35"/>
      <c r="B633" s="35"/>
      <c r="C633" s="35"/>
      <c r="D633" s="35"/>
      <c r="E633" s="35"/>
      <c r="F633" s="35"/>
      <c r="G633" s="35"/>
      <c r="H633" s="35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</row>
    <row r="634" spans="1:26">
      <c r="A634" s="35"/>
      <c r="B634" s="35"/>
      <c r="C634" s="35"/>
      <c r="D634" s="35"/>
      <c r="E634" s="35"/>
      <c r="F634" s="35"/>
      <c r="G634" s="35"/>
      <c r="H634" s="35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</row>
    <row r="635" spans="1:26">
      <c r="A635" s="35"/>
      <c r="B635" s="35"/>
      <c r="C635" s="35"/>
      <c r="D635" s="35"/>
      <c r="E635" s="35"/>
      <c r="F635" s="35"/>
      <c r="G635" s="35"/>
      <c r="H635" s="35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</row>
    <row r="636" spans="1:26">
      <c r="A636" s="35"/>
      <c r="B636" s="35"/>
      <c r="C636" s="35"/>
      <c r="D636" s="35"/>
      <c r="E636" s="35"/>
      <c r="F636" s="35"/>
      <c r="G636" s="35"/>
      <c r="H636" s="35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</row>
    <row r="637" spans="1:26">
      <c r="A637" s="35"/>
      <c r="B637" s="35"/>
      <c r="C637" s="35"/>
      <c r="D637" s="35"/>
      <c r="E637" s="35"/>
      <c r="F637" s="35"/>
      <c r="G637" s="35"/>
      <c r="H637" s="35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</row>
    <row r="638" spans="1:26">
      <c r="A638" s="35"/>
      <c r="B638" s="35"/>
      <c r="C638" s="35"/>
      <c r="D638" s="35"/>
      <c r="E638" s="35"/>
      <c r="F638" s="35"/>
      <c r="G638" s="35"/>
      <c r="H638" s="35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</row>
    <row r="639" spans="1:26">
      <c r="A639" s="35"/>
      <c r="B639" s="35"/>
      <c r="C639" s="35"/>
      <c r="D639" s="35"/>
      <c r="E639" s="35"/>
      <c r="F639" s="35"/>
      <c r="G639" s="35"/>
      <c r="H639" s="35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</row>
    <row r="640" spans="1:26">
      <c r="A640" s="35"/>
      <c r="B640" s="35"/>
      <c r="C640" s="35"/>
      <c r="D640" s="35"/>
      <c r="E640" s="35"/>
      <c r="F640" s="35"/>
      <c r="G640" s="35"/>
      <c r="H640" s="35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</row>
    <row r="641" spans="1:26">
      <c r="A641" s="35"/>
      <c r="B641" s="35"/>
      <c r="C641" s="35"/>
      <c r="D641" s="35"/>
      <c r="E641" s="35"/>
      <c r="F641" s="35"/>
      <c r="G641" s="35"/>
      <c r="H641" s="35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</row>
    <row r="642" spans="1:26">
      <c r="A642" s="35"/>
      <c r="B642" s="35"/>
      <c r="C642" s="35"/>
      <c r="D642" s="35"/>
      <c r="E642" s="35"/>
      <c r="F642" s="35"/>
      <c r="G642" s="35"/>
      <c r="H642" s="35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</row>
    <row r="643" spans="1:26">
      <c r="A643" s="35"/>
      <c r="B643" s="35"/>
      <c r="C643" s="35"/>
      <c r="D643" s="35"/>
      <c r="E643" s="35"/>
      <c r="F643" s="35"/>
      <c r="G643" s="35"/>
      <c r="H643" s="35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</row>
    <row r="644" spans="1:26">
      <c r="A644" s="35"/>
      <c r="B644" s="35"/>
      <c r="C644" s="35"/>
      <c r="D644" s="35"/>
      <c r="E644" s="35"/>
      <c r="F644" s="35"/>
      <c r="G644" s="35"/>
      <c r="H644" s="35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</row>
    <row r="645" spans="1:26">
      <c r="A645" s="35"/>
      <c r="B645" s="35"/>
      <c r="C645" s="35"/>
      <c r="D645" s="35"/>
      <c r="E645" s="35"/>
      <c r="F645" s="35"/>
      <c r="G645" s="35"/>
      <c r="H645" s="35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</row>
    <row r="646" spans="1:26">
      <c r="A646" s="35"/>
      <c r="B646" s="35"/>
      <c r="C646" s="35"/>
      <c r="D646" s="35"/>
      <c r="E646" s="35"/>
      <c r="F646" s="35"/>
      <c r="G646" s="35"/>
      <c r="H646" s="35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</row>
    <row r="647" spans="1:26">
      <c r="A647" s="35"/>
      <c r="B647" s="35"/>
      <c r="C647" s="35"/>
      <c r="D647" s="35"/>
      <c r="E647" s="35"/>
      <c r="F647" s="35"/>
      <c r="G647" s="35"/>
      <c r="H647" s="35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</row>
    <row r="648" spans="1:26">
      <c r="A648" s="35"/>
      <c r="B648" s="35"/>
      <c r="C648" s="35"/>
      <c r="D648" s="35"/>
      <c r="E648" s="35"/>
      <c r="F648" s="35"/>
      <c r="G648" s="35"/>
      <c r="H648" s="35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</row>
    <row r="649" spans="1:26">
      <c r="A649" s="35"/>
      <c r="B649" s="35"/>
      <c r="C649" s="35"/>
      <c r="D649" s="35"/>
      <c r="E649" s="35"/>
      <c r="F649" s="35"/>
      <c r="G649" s="35"/>
      <c r="H649" s="35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</row>
    <row r="650" spans="1:26">
      <c r="A650" s="35"/>
      <c r="B650" s="35"/>
      <c r="C650" s="35"/>
      <c r="D650" s="35"/>
      <c r="E650" s="35"/>
      <c r="F650" s="35"/>
      <c r="G650" s="35"/>
      <c r="H650" s="35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</row>
    <row r="651" spans="1:26">
      <c r="A651" s="35"/>
      <c r="B651" s="35"/>
      <c r="C651" s="35"/>
      <c r="D651" s="35"/>
      <c r="E651" s="35"/>
      <c r="F651" s="35"/>
      <c r="G651" s="35"/>
      <c r="H651" s="35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</row>
    <row r="652" spans="1:26">
      <c r="A652" s="35"/>
      <c r="B652" s="35"/>
      <c r="C652" s="35"/>
      <c r="D652" s="35"/>
      <c r="E652" s="35"/>
      <c r="F652" s="35"/>
      <c r="G652" s="35"/>
      <c r="H652" s="35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</row>
    <row r="653" spans="1:26">
      <c r="A653" s="35"/>
      <c r="B653" s="35"/>
      <c r="C653" s="35"/>
      <c r="D653" s="35"/>
      <c r="E653" s="35"/>
      <c r="F653" s="35"/>
      <c r="G653" s="35"/>
      <c r="H653" s="35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</row>
    <row r="654" spans="1:26">
      <c r="A654" s="35"/>
      <c r="B654" s="35"/>
      <c r="C654" s="35"/>
      <c r="D654" s="35"/>
      <c r="E654" s="35"/>
      <c r="F654" s="35"/>
      <c r="G654" s="35"/>
      <c r="H654" s="35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</row>
    <row r="655" spans="1:26">
      <c r="A655" s="35"/>
      <c r="B655" s="35"/>
      <c r="C655" s="35"/>
      <c r="D655" s="35"/>
      <c r="E655" s="35"/>
      <c r="F655" s="35"/>
      <c r="G655" s="35"/>
      <c r="H655" s="35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</row>
    <row r="656" spans="1:26">
      <c r="A656" s="35"/>
      <c r="B656" s="35"/>
      <c r="C656" s="35"/>
      <c r="D656" s="35"/>
      <c r="E656" s="35"/>
      <c r="F656" s="35"/>
      <c r="G656" s="35"/>
      <c r="H656" s="35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</row>
    <row r="657" spans="1:26">
      <c r="A657" s="35"/>
      <c r="B657" s="35"/>
      <c r="C657" s="35"/>
      <c r="D657" s="35"/>
      <c r="E657" s="35"/>
      <c r="F657" s="35"/>
      <c r="G657" s="35"/>
      <c r="H657" s="35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</row>
    <row r="658" spans="1:26">
      <c r="A658" s="35"/>
      <c r="B658" s="35"/>
      <c r="C658" s="35"/>
      <c r="D658" s="35"/>
      <c r="E658" s="35"/>
      <c r="F658" s="35"/>
      <c r="G658" s="35"/>
      <c r="H658" s="35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</row>
    <row r="659" spans="1:26">
      <c r="A659" s="35"/>
      <c r="B659" s="35"/>
      <c r="C659" s="35"/>
      <c r="D659" s="35"/>
      <c r="E659" s="35"/>
      <c r="F659" s="35"/>
      <c r="G659" s="35"/>
      <c r="H659" s="35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</row>
    <row r="660" spans="1:26">
      <c r="A660" s="35"/>
      <c r="B660" s="35"/>
      <c r="C660" s="35"/>
      <c r="D660" s="35"/>
      <c r="E660" s="35"/>
      <c r="F660" s="35"/>
      <c r="G660" s="35"/>
      <c r="H660" s="35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</row>
    <row r="661" spans="1:26">
      <c r="A661" s="35"/>
      <c r="B661" s="35"/>
      <c r="C661" s="35"/>
      <c r="D661" s="35"/>
      <c r="E661" s="35"/>
      <c r="F661" s="35"/>
      <c r="G661" s="35"/>
      <c r="H661" s="35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</row>
    <row r="662" spans="1:26">
      <c r="A662" s="35"/>
      <c r="B662" s="35"/>
      <c r="C662" s="35"/>
      <c r="D662" s="35"/>
      <c r="E662" s="35"/>
      <c r="F662" s="35"/>
      <c r="G662" s="35"/>
      <c r="H662" s="35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</row>
    <row r="663" spans="1:26">
      <c r="A663" s="35"/>
      <c r="B663" s="35"/>
      <c r="C663" s="35"/>
      <c r="D663" s="35"/>
      <c r="E663" s="35"/>
      <c r="F663" s="35"/>
      <c r="G663" s="35"/>
      <c r="H663" s="35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</row>
    <row r="664" spans="1:26">
      <c r="A664" s="35"/>
      <c r="B664" s="35"/>
      <c r="C664" s="35"/>
      <c r="D664" s="35"/>
      <c r="E664" s="35"/>
      <c r="F664" s="35"/>
      <c r="G664" s="35"/>
      <c r="H664" s="35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</row>
    <row r="665" spans="1:26">
      <c r="A665" s="35"/>
      <c r="B665" s="35"/>
      <c r="C665" s="35"/>
      <c r="D665" s="35"/>
      <c r="E665" s="35"/>
      <c r="F665" s="35"/>
      <c r="G665" s="35"/>
      <c r="H665" s="35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</row>
    <row r="666" spans="1:26">
      <c r="A666" s="35"/>
      <c r="B666" s="35"/>
      <c r="C666" s="35"/>
      <c r="D666" s="35"/>
      <c r="E666" s="35"/>
      <c r="F666" s="35"/>
      <c r="G666" s="35"/>
      <c r="H666" s="35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</row>
    <row r="667" spans="1:26">
      <c r="A667" s="35"/>
      <c r="B667" s="35"/>
      <c r="C667" s="35"/>
      <c r="D667" s="35"/>
      <c r="E667" s="35"/>
      <c r="F667" s="35"/>
      <c r="G667" s="35"/>
      <c r="H667" s="35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</row>
    <row r="668" spans="1:26">
      <c r="A668" s="35"/>
      <c r="B668" s="35"/>
      <c r="C668" s="35"/>
      <c r="D668" s="35"/>
      <c r="E668" s="35"/>
      <c r="F668" s="35"/>
      <c r="G668" s="35"/>
      <c r="H668" s="35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</row>
    <row r="669" spans="1:26">
      <c r="A669" s="35"/>
      <c r="B669" s="35"/>
      <c r="C669" s="35"/>
      <c r="D669" s="35"/>
      <c r="E669" s="35"/>
      <c r="F669" s="35"/>
      <c r="G669" s="35"/>
      <c r="H669" s="35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</row>
    <row r="670" spans="1:26">
      <c r="A670" s="35"/>
      <c r="B670" s="35"/>
      <c r="C670" s="35"/>
      <c r="D670" s="35"/>
      <c r="E670" s="35"/>
      <c r="F670" s="35"/>
      <c r="G670" s="35"/>
      <c r="H670" s="35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</row>
    <row r="671" spans="1:26">
      <c r="A671" s="35"/>
      <c r="B671" s="35"/>
      <c r="C671" s="35"/>
      <c r="D671" s="35"/>
      <c r="E671" s="35"/>
      <c r="F671" s="35"/>
      <c r="G671" s="35"/>
      <c r="H671" s="35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</row>
    <row r="672" spans="1:26">
      <c r="A672" s="35"/>
      <c r="B672" s="35"/>
      <c r="C672" s="35"/>
      <c r="D672" s="35"/>
      <c r="E672" s="35"/>
      <c r="F672" s="35"/>
      <c r="G672" s="35"/>
      <c r="H672" s="35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</row>
    <row r="673" spans="1:26">
      <c r="A673" s="35"/>
      <c r="B673" s="35"/>
      <c r="C673" s="35"/>
      <c r="D673" s="35"/>
      <c r="E673" s="35"/>
      <c r="F673" s="35"/>
      <c r="G673" s="35"/>
      <c r="H673" s="35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</row>
    <row r="674" spans="1:26">
      <c r="A674" s="35"/>
      <c r="B674" s="35"/>
      <c r="C674" s="35"/>
      <c r="D674" s="35"/>
      <c r="E674" s="35"/>
      <c r="F674" s="35"/>
      <c r="G674" s="35"/>
      <c r="H674" s="35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</row>
    <row r="675" spans="1:26">
      <c r="A675" s="35"/>
      <c r="B675" s="35"/>
      <c r="C675" s="35"/>
      <c r="D675" s="35"/>
      <c r="E675" s="35"/>
      <c r="F675" s="35"/>
      <c r="G675" s="35"/>
      <c r="H675" s="35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</row>
    <row r="676" spans="1:26">
      <c r="A676" s="35"/>
      <c r="B676" s="35"/>
      <c r="C676" s="35"/>
      <c r="D676" s="35"/>
      <c r="E676" s="35"/>
      <c r="F676" s="35"/>
      <c r="G676" s="35"/>
      <c r="H676" s="35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</row>
    <row r="677" spans="1:26">
      <c r="A677" s="35"/>
      <c r="B677" s="35"/>
      <c r="C677" s="35"/>
      <c r="D677" s="35"/>
      <c r="E677" s="35"/>
      <c r="F677" s="35"/>
      <c r="G677" s="35"/>
      <c r="H677" s="35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</row>
    <row r="678" spans="1:26">
      <c r="A678" s="35"/>
      <c r="B678" s="35"/>
      <c r="C678" s="35"/>
      <c r="D678" s="35"/>
      <c r="E678" s="35"/>
      <c r="F678" s="35"/>
      <c r="G678" s="35"/>
      <c r="H678" s="35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</row>
    <row r="679" spans="1:26">
      <c r="A679" s="35"/>
      <c r="B679" s="35"/>
      <c r="C679" s="35"/>
      <c r="D679" s="35"/>
      <c r="E679" s="35"/>
      <c r="F679" s="35"/>
      <c r="G679" s="35"/>
      <c r="H679" s="35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</row>
    <row r="680" spans="1:26">
      <c r="A680" s="35"/>
      <c r="B680" s="35"/>
      <c r="C680" s="35"/>
      <c r="D680" s="35"/>
      <c r="E680" s="35"/>
      <c r="F680" s="35"/>
      <c r="G680" s="35"/>
      <c r="H680" s="35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</row>
    <row r="681" spans="1:26">
      <c r="A681" s="35"/>
      <c r="B681" s="35"/>
      <c r="C681" s="35"/>
      <c r="D681" s="35"/>
      <c r="E681" s="35"/>
      <c r="F681" s="35"/>
      <c r="G681" s="35"/>
      <c r="H681" s="35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</row>
    <row r="682" spans="1:26">
      <c r="A682" s="35"/>
      <c r="B682" s="35"/>
      <c r="C682" s="35"/>
      <c r="D682" s="35"/>
      <c r="E682" s="35"/>
      <c r="F682" s="35"/>
      <c r="G682" s="35"/>
      <c r="H682" s="35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</row>
    <row r="683" spans="1:26">
      <c r="A683" s="35"/>
      <c r="B683" s="35"/>
      <c r="C683" s="35"/>
      <c r="D683" s="35"/>
      <c r="E683" s="35"/>
      <c r="F683" s="35"/>
      <c r="G683" s="35"/>
      <c r="H683" s="35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</row>
    <row r="684" spans="1:26">
      <c r="A684" s="35"/>
      <c r="B684" s="35"/>
      <c r="C684" s="35"/>
      <c r="D684" s="35"/>
      <c r="E684" s="35"/>
      <c r="F684" s="35"/>
      <c r="G684" s="35"/>
      <c r="H684" s="35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</row>
    <row r="685" spans="1:26">
      <c r="A685" s="35"/>
      <c r="B685" s="35"/>
      <c r="C685" s="35"/>
      <c r="D685" s="35"/>
      <c r="E685" s="35"/>
      <c r="F685" s="35"/>
      <c r="G685" s="35"/>
      <c r="H685" s="35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</row>
    <row r="686" spans="1:26">
      <c r="A686" s="35"/>
      <c r="B686" s="35"/>
      <c r="C686" s="35"/>
      <c r="D686" s="35"/>
      <c r="E686" s="35"/>
      <c r="F686" s="35"/>
      <c r="G686" s="35"/>
      <c r="H686" s="35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</row>
    <row r="687" spans="1:26">
      <c r="A687" s="35"/>
      <c r="B687" s="35"/>
      <c r="C687" s="35"/>
      <c r="D687" s="35"/>
      <c r="E687" s="35"/>
      <c r="F687" s="35"/>
      <c r="G687" s="35"/>
      <c r="H687" s="35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</row>
    <row r="688" spans="1:26">
      <c r="A688" s="35"/>
      <c r="B688" s="35"/>
      <c r="C688" s="35"/>
      <c r="D688" s="35"/>
      <c r="E688" s="35"/>
      <c r="F688" s="35"/>
      <c r="G688" s="35"/>
      <c r="H688" s="35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</row>
    <row r="689" spans="1:26">
      <c r="A689" s="35"/>
      <c r="B689" s="35"/>
      <c r="C689" s="35"/>
      <c r="D689" s="35"/>
      <c r="E689" s="35"/>
      <c r="F689" s="35"/>
      <c r="G689" s="35"/>
      <c r="H689" s="35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</row>
    <row r="690" spans="1:26">
      <c r="A690" s="35"/>
      <c r="B690" s="35"/>
      <c r="C690" s="35"/>
      <c r="D690" s="35"/>
      <c r="E690" s="35"/>
      <c r="F690" s="35"/>
      <c r="G690" s="35"/>
      <c r="H690" s="35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</row>
    <row r="691" spans="1:26">
      <c r="A691" s="35"/>
      <c r="B691" s="35"/>
      <c r="C691" s="35"/>
      <c r="D691" s="35"/>
      <c r="E691" s="35"/>
      <c r="F691" s="35"/>
      <c r="G691" s="35"/>
      <c r="H691" s="35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</row>
    <row r="692" spans="1:26">
      <c r="A692" s="35"/>
      <c r="B692" s="35"/>
      <c r="C692" s="35"/>
      <c r="D692" s="35"/>
      <c r="E692" s="35"/>
      <c r="F692" s="35"/>
      <c r="G692" s="35"/>
      <c r="H692" s="35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</row>
    <row r="693" spans="1:26">
      <c r="A693" s="35"/>
      <c r="B693" s="35"/>
      <c r="C693" s="35"/>
      <c r="D693" s="35"/>
      <c r="E693" s="35"/>
      <c r="F693" s="35"/>
      <c r="G693" s="35"/>
      <c r="H693" s="35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</row>
    <row r="694" spans="1:26">
      <c r="A694" s="35"/>
      <c r="B694" s="35"/>
      <c r="C694" s="35"/>
      <c r="D694" s="35"/>
      <c r="E694" s="35"/>
      <c r="F694" s="35"/>
      <c r="G694" s="35"/>
      <c r="H694" s="35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</row>
    <row r="695" spans="1:26">
      <c r="A695" s="35"/>
      <c r="B695" s="35"/>
      <c r="C695" s="35"/>
      <c r="D695" s="35"/>
      <c r="E695" s="35"/>
      <c r="F695" s="35"/>
      <c r="G695" s="35"/>
      <c r="H695" s="35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</row>
    <row r="696" spans="1:26">
      <c r="A696" s="35"/>
      <c r="B696" s="35"/>
      <c r="C696" s="35"/>
      <c r="D696" s="35"/>
      <c r="E696" s="35"/>
      <c r="F696" s="35"/>
      <c r="G696" s="35"/>
      <c r="H696" s="35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</row>
    <row r="697" spans="1:26">
      <c r="A697" s="35"/>
      <c r="B697" s="35"/>
      <c r="C697" s="35"/>
      <c r="D697" s="35"/>
      <c r="E697" s="35"/>
      <c r="F697" s="35"/>
      <c r="G697" s="35"/>
      <c r="H697" s="35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</row>
    <row r="698" spans="1:26">
      <c r="A698" s="35"/>
      <c r="B698" s="35"/>
      <c r="C698" s="35"/>
      <c r="D698" s="35"/>
      <c r="E698" s="35"/>
      <c r="F698" s="35"/>
      <c r="G698" s="35"/>
      <c r="H698" s="35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</row>
    <row r="699" spans="1:26">
      <c r="A699" s="35"/>
      <c r="B699" s="35"/>
      <c r="C699" s="35"/>
      <c r="D699" s="35"/>
      <c r="E699" s="35"/>
      <c r="F699" s="35"/>
      <c r="G699" s="35"/>
      <c r="H699" s="35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</row>
    <row r="700" spans="1:26">
      <c r="A700" s="35"/>
      <c r="B700" s="35"/>
      <c r="C700" s="35"/>
      <c r="D700" s="35"/>
      <c r="E700" s="35"/>
      <c r="F700" s="35"/>
      <c r="G700" s="35"/>
      <c r="H700" s="35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</row>
    <row r="701" spans="1:26">
      <c r="A701" s="35"/>
      <c r="B701" s="35"/>
      <c r="C701" s="35"/>
      <c r="D701" s="35"/>
      <c r="E701" s="35"/>
      <c r="F701" s="35"/>
      <c r="G701" s="35"/>
      <c r="H701" s="35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</row>
    <row r="702" spans="1:26">
      <c r="A702" s="35"/>
      <c r="B702" s="35"/>
      <c r="C702" s="35"/>
      <c r="D702" s="35"/>
      <c r="E702" s="35"/>
      <c r="F702" s="35"/>
      <c r="G702" s="35"/>
      <c r="H702" s="35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</row>
    <row r="703" spans="1:26">
      <c r="A703" s="35"/>
      <c r="B703" s="35"/>
      <c r="C703" s="35"/>
      <c r="D703" s="35"/>
      <c r="E703" s="35"/>
      <c r="F703" s="35"/>
      <c r="G703" s="35"/>
      <c r="H703" s="35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</row>
    <row r="704" spans="1:26">
      <c r="A704" s="35"/>
      <c r="B704" s="35"/>
      <c r="C704" s="35"/>
      <c r="D704" s="35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</row>
    <row r="705" spans="1:26">
      <c r="A705" s="35"/>
      <c r="B705" s="35"/>
      <c r="C705" s="35"/>
      <c r="D705" s="35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</row>
    <row r="706" spans="1:26">
      <c r="A706" s="35"/>
      <c r="B706" s="35"/>
      <c r="C706" s="35"/>
      <c r="D706" s="35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</row>
    <row r="707" spans="1:26">
      <c r="A707" s="35"/>
      <c r="B707" s="35"/>
      <c r="C707" s="35"/>
      <c r="D707" s="35"/>
      <c r="E707" s="35"/>
      <c r="F707" s="35"/>
      <c r="G707" s="35"/>
      <c r="H707" s="35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</row>
    <row r="708" spans="1:26">
      <c r="A708" s="35"/>
      <c r="B708" s="35"/>
      <c r="C708" s="35"/>
      <c r="D708" s="35"/>
      <c r="E708" s="35"/>
      <c r="F708" s="35"/>
      <c r="G708" s="35"/>
      <c r="H708" s="35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</row>
    <row r="709" spans="1:26">
      <c r="A709" s="35"/>
      <c r="B709" s="35"/>
      <c r="C709" s="35"/>
      <c r="D709" s="35"/>
      <c r="E709" s="35"/>
      <c r="F709" s="35"/>
      <c r="G709" s="35"/>
      <c r="H709" s="35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</row>
    <row r="710" spans="1:26">
      <c r="A710" s="35"/>
      <c r="B710" s="35"/>
      <c r="C710" s="35"/>
      <c r="D710" s="35"/>
      <c r="E710" s="35"/>
      <c r="F710" s="35"/>
      <c r="G710" s="35"/>
      <c r="H710" s="35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</row>
    <row r="711" spans="1:26">
      <c r="A711" s="35"/>
      <c r="B711" s="35"/>
      <c r="C711" s="35"/>
      <c r="D711" s="35"/>
      <c r="E711" s="35"/>
      <c r="F711" s="35"/>
      <c r="G711" s="35"/>
      <c r="H711" s="35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</row>
    <row r="712" spans="1:26">
      <c r="A712" s="35"/>
      <c r="B712" s="35"/>
      <c r="C712" s="35"/>
      <c r="D712" s="35"/>
      <c r="E712" s="35"/>
      <c r="F712" s="35"/>
      <c r="G712" s="35"/>
      <c r="H712" s="35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</row>
    <row r="713" spans="1:26">
      <c r="A713" s="35"/>
      <c r="B713" s="35"/>
      <c r="C713" s="35"/>
      <c r="D713" s="35"/>
      <c r="E713" s="35"/>
      <c r="F713" s="35"/>
      <c r="G713" s="35"/>
      <c r="H713" s="35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</row>
    <row r="714" spans="1:26">
      <c r="A714" s="35"/>
      <c r="B714" s="35"/>
      <c r="C714" s="35"/>
      <c r="D714" s="35"/>
      <c r="E714" s="35"/>
      <c r="F714" s="35"/>
      <c r="G714" s="35"/>
      <c r="H714" s="35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</row>
    <row r="715" spans="1:26">
      <c r="A715" s="35"/>
      <c r="B715" s="35"/>
      <c r="C715" s="35"/>
      <c r="D715" s="35"/>
      <c r="E715" s="35"/>
      <c r="F715" s="35"/>
      <c r="G715" s="35"/>
      <c r="H715" s="35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</row>
    <row r="716" spans="1:26">
      <c r="A716" s="35"/>
      <c r="B716" s="35"/>
      <c r="C716" s="35"/>
      <c r="D716" s="35"/>
      <c r="E716" s="35"/>
      <c r="F716" s="35"/>
      <c r="G716" s="35"/>
      <c r="H716" s="35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</row>
    <row r="717" spans="1:26">
      <c r="A717" s="35"/>
      <c r="B717" s="35"/>
      <c r="C717" s="35"/>
      <c r="D717" s="35"/>
      <c r="E717" s="35"/>
      <c r="F717" s="35"/>
      <c r="G717" s="35"/>
      <c r="H717" s="35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</row>
    <row r="718" spans="1:26">
      <c r="A718" s="35"/>
      <c r="B718" s="35"/>
      <c r="C718" s="35"/>
      <c r="D718" s="35"/>
      <c r="E718" s="35"/>
      <c r="F718" s="35"/>
      <c r="G718" s="35"/>
      <c r="H718" s="35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</row>
    <row r="719" spans="1:26">
      <c r="A719" s="35"/>
      <c r="B719" s="35"/>
      <c r="C719" s="35"/>
      <c r="D719" s="35"/>
      <c r="E719" s="35"/>
      <c r="F719" s="35"/>
      <c r="G719" s="35"/>
      <c r="H719" s="35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</row>
    <row r="720" spans="1:26">
      <c r="A720" s="35"/>
      <c r="B720" s="35"/>
      <c r="C720" s="35"/>
      <c r="D720" s="35"/>
      <c r="E720" s="35"/>
      <c r="F720" s="35"/>
      <c r="G720" s="35"/>
      <c r="H720" s="35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</row>
    <row r="721" spans="1:26">
      <c r="A721" s="35"/>
      <c r="B721" s="35"/>
      <c r="C721" s="35"/>
      <c r="D721" s="35"/>
      <c r="E721" s="35"/>
      <c r="F721" s="35"/>
      <c r="G721" s="35"/>
      <c r="H721" s="35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</row>
    <row r="722" spans="1:26">
      <c r="A722" s="35"/>
      <c r="B722" s="35"/>
      <c r="C722" s="35"/>
      <c r="D722" s="35"/>
      <c r="E722" s="35"/>
      <c r="F722" s="35"/>
      <c r="G722" s="35"/>
      <c r="H722" s="35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</row>
    <row r="723" spans="1:26">
      <c r="A723" s="35"/>
      <c r="B723" s="35"/>
      <c r="C723" s="35"/>
      <c r="D723" s="35"/>
      <c r="E723" s="35"/>
      <c r="F723" s="35"/>
      <c r="G723" s="35"/>
      <c r="H723" s="35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</row>
    <row r="724" spans="1:26">
      <c r="A724" s="35"/>
      <c r="B724" s="35"/>
      <c r="C724" s="35"/>
      <c r="D724" s="35"/>
      <c r="E724" s="35"/>
      <c r="F724" s="35"/>
      <c r="G724" s="35"/>
      <c r="H724" s="35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</row>
    <row r="725" spans="1:26">
      <c r="A725" s="35"/>
      <c r="B725" s="35"/>
      <c r="C725" s="35"/>
      <c r="D725" s="35"/>
      <c r="E725" s="35"/>
      <c r="F725" s="35"/>
      <c r="G725" s="35"/>
      <c r="H725" s="35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</row>
    <row r="726" spans="1:26">
      <c r="A726" s="35"/>
      <c r="B726" s="35"/>
      <c r="C726" s="35"/>
      <c r="D726" s="35"/>
      <c r="E726" s="35"/>
      <c r="F726" s="35"/>
      <c r="G726" s="35"/>
      <c r="H726" s="35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</row>
    <row r="727" spans="1:26">
      <c r="A727" s="35"/>
      <c r="B727" s="35"/>
      <c r="C727" s="35"/>
      <c r="D727" s="35"/>
      <c r="E727" s="35"/>
      <c r="F727" s="35"/>
      <c r="G727" s="35"/>
      <c r="H727" s="35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</row>
    <row r="728" spans="1:26">
      <c r="A728" s="35"/>
      <c r="B728" s="35"/>
      <c r="C728" s="35"/>
      <c r="D728" s="35"/>
      <c r="E728" s="35"/>
      <c r="F728" s="35"/>
      <c r="G728" s="35"/>
      <c r="H728" s="35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</row>
    <row r="729" spans="1:26">
      <c r="A729" s="35"/>
      <c r="B729" s="35"/>
      <c r="C729" s="35"/>
      <c r="D729" s="35"/>
      <c r="E729" s="35"/>
      <c r="F729" s="35"/>
      <c r="G729" s="35"/>
      <c r="H729" s="35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</row>
    <row r="730" spans="1:26">
      <c r="A730" s="35"/>
      <c r="B730" s="35"/>
      <c r="C730" s="35"/>
      <c r="D730" s="35"/>
      <c r="E730" s="35"/>
      <c r="F730" s="35"/>
      <c r="G730" s="35"/>
      <c r="H730" s="35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</row>
    <row r="731" spans="1:26">
      <c r="A731" s="35"/>
      <c r="B731" s="35"/>
      <c r="C731" s="35"/>
      <c r="D731" s="35"/>
      <c r="E731" s="35"/>
      <c r="F731" s="35"/>
      <c r="G731" s="35"/>
      <c r="H731" s="35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</row>
    <row r="732" spans="1:26">
      <c r="A732" s="35"/>
      <c r="B732" s="35"/>
      <c r="C732" s="35"/>
      <c r="D732" s="35"/>
      <c r="E732" s="35"/>
      <c r="F732" s="35"/>
      <c r="G732" s="35"/>
      <c r="H732" s="35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</row>
    <row r="733" spans="1:26">
      <c r="A733" s="35"/>
      <c r="B733" s="35"/>
      <c r="C733" s="35"/>
      <c r="D733" s="35"/>
      <c r="E733" s="35"/>
      <c r="F733" s="35"/>
      <c r="G733" s="35"/>
      <c r="H733" s="35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</row>
    <row r="734" spans="1:26">
      <c r="A734" s="35"/>
      <c r="B734" s="35"/>
      <c r="C734" s="35"/>
      <c r="D734" s="35"/>
      <c r="E734" s="35"/>
      <c r="F734" s="35"/>
      <c r="G734" s="35"/>
      <c r="H734" s="35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</row>
    <row r="735" spans="1:26">
      <c r="A735" s="35"/>
      <c r="B735" s="35"/>
      <c r="C735" s="35"/>
      <c r="D735" s="35"/>
      <c r="E735" s="35"/>
      <c r="F735" s="35"/>
      <c r="G735" s="35"/>
      <c r="H735" s="35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</row>
    <row r="736" spans="1:26">
      <c r="A736" s="35"/>
      <c r="B736" s="35"/>
      <c r="C736" s="35"/>
      <c r="D736" s="35"/>
      <c r="E736" s="35"/>
      <c r="F736" s="35"/>
      <c r="G736" s="35"/>
      <c r="H736" s="35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</row>
    <row r="737" spans="1:26">
      <c r="A737" s="35"/>
      <c r="B737" s="35"/>
      <c r="C737" s="35"/>
      <c r="D737" s="35"/>
      <c r="E737" s="35"/>
      <c r="F737" s="35"/>
      <c r="G737" s="35"/>
      <c r="H737" s="35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</row>
    <row r="738" spans="1:26">
      <c r="A738" s="35"/>
      <c r="B738" s="35"/>
      <c r="C738" s="35"/>
      <c r="D738" s="35"/>
      <c r="E738" s="35"/>
      <c r="F738" s="35"/>
      <c r="G738" s="35"/>
      <c r="H738" s="35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</row>
    <row r="739" spans="1:26">
      <c r="A739" s="35"/>
      <c r="B739" s="35"/>
      <c r="C739" s="35"/>
      <c r="D739" s="35"/>
      <c r="E739" s="35"/>
      <c r="F739" s="35"/>
      <c r="G739" s="35"/>
      <c r="H739" s="35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</row>
    <row r="740" spans="1:26">
      <c r="A740" s="35"/>
      <c r="B740" s="35"/>
      <c r="C740" s="35"/>
      <c r="D740" s="35"/>
      <c r="E740" s="35"/>
      <c r="F740" s="35"/>
      <c r="G740" s="35"/>
      <c r="H740" s="35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</row>
    <row r="741" spans="1:26">
      <c r="A741" s="35"/>
      <c r="B741" s="35"/>
      <c r="C741" s="35"/>
      <c r="D741" s="35"/>
      <c r="E741" s="35"/>
      <c r="F741" s="35"/>
      <c r="G741" s="35"/>
      <c r="H741" s="35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</row>
    <row r="742" spans="1:26">
      <c r="A742" s="35"/>
      <c r="B742" s="35"/>
      <c r="C742" s="35"/>
      <c r="D742" s="35"/>
      <c r="E742" s="35"/>
      <c r="F742" s="35"/>
      <c r="G742" s="35"/>
      <c r="H742" s="35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</row>
    <row r="743" spans="1:26">
      <c r="A743" s="35"/>
      <c r="B743" s="35"/>
      <c r="C743" s="35"/>
      <c r="D743" s="35"/>
      <c r="E743" s="35"/>
      <c r="F743" s="35"/>
      <c r="G743" s="35"/>
      <c r="H743" s="35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</row>
    <row r="744" spans="1:26">
      <c r="A744" s="35"/>
      <c r="B744" s="35"/>
      <c r="C744" s="35"/>
      <c r="D744" s="35"/>
      <c r="E744" s="35"/>
      <c r="F744" s="35"/>
      <c r="G744" s="35"/>
      <c r="H744" s="35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</row>
    <row r="745" spans="1:26">
      <c r="A745" s="35"/>
      <c r="B745" s="35"/>
      <c r="C745" s="35"/>
      <c r="D745" s="35"/>
      <c r="E745" s="35"/>
      <c r="F745" s="35"/>
      <c r="G745" s="35"/>
      <c r="H745" s="35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</row>
    <row r="746" spans="1:26">
      <c r="A746" s="35"/>
      <c r="B746" s="35"/>
      <c r="C746" s="35"/>
      <c r="D746" s="35"/>
      <c r="E746" s="35"/>
      <c r="F746" s="35"/>
      <c r="G746" s="35"/>
      <c r="H746" s="35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</row>
    <row r="747" spans="1:26">
      <c r="A747" s="35"/>
      <c r="B747" s="35"/>
      <c r="C747" s="35"/>
      <c r="D747" s="35"/>
      <c r="E747" s="35"/>
      <c r="F747" s="35"/>
      <c r="G747" s="35"/>
      <c r="H747" s="35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</row>
    <row r="748" spans="1:26">
      <c r="A748" s="35"/>
      <c r="B748" s="35"/>
      <c r="C748" s="35"/>
      <c r="D748" s="35"/>
      <c r="E748" s="35"/>
      <c r="F748" s="35"/>
      <c r="G748" s="35"/>
      <c r="H748" s="35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</row>
    <row r="749" spans="1:26">
      <c r="A749" s="35"/>
      <c r="B749" s="35"/>
      <c r="C749" s="35"/>
      <c r="D749" s="35"/>
      <c r="E749" s="35"/>
      <c r="F749" s="35"/>
      <c r="G749" s="35"/>
      <c r="H749" s="35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</row>
    <row r="750" spans="1:26">
      <c r="A750" s="35"/>
      <c r="B750" s="35"/>
      <c r="C750" s="35"/>
      <c r="D750" s="35"/>
      <c r="E750" s="35"/>
      <c r="F750" s="35"/>
      <c r="G750" s="35"/>
      <c r="H750" s="35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</row>
    <row r="751" spans="1:26">
      <c r="A751" s="35"/>
      <c r="B751" s="35"/>
      <c r="C751" s="35"/>
      <c r="D751" s="35"/>
      <c r="E751" s="35"/>
      <c r="F751" s="35"/>
      <c r="G751" s="35"/>
      <c r="H751" s="35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</row>
    <row r="752" spans="1:26">
      <c r="A752" s="35"/>
      <c r="B752" s="35"/>
      <c r="C752" s="35"/>
      <c r="D752" s="35"/>
      <c r="E752" s="35"/>
      <c r="F752" s="35"/>
      <c r="G752" s="35"/>
      <c r="H752" s="35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</row>
    <row r="753" spans="1:26">
      <c r="A753" s="35"/>
      <c r="B753" s="35"/>
      <c r="C753" s="35"/>
      <c r="D753" s="35"/>
      <c r="E753" s="35"/>
      <c r="F753" s="35"/>
      <c r="G753" s="35"/>
      <c r="H753" s="35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</row>
    <row r="754" spans="1:26">
      <c r="A754" s="35"/>
      <c r="B754" s="35"/>
      <c r="C754" s="35"/>
      <c r="D754" s="35"/>
      <c r="E754" s="35"/>
      <c r="F754" s="35"/>
      <c r="G754" s="35"/>
      <c r="H754" s="35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</row>
    <row r="755" spans="1:26">
      <c r="A755" s="35"/>
      <c r="B755" s="35"/>
      <c r="C755" s="35"/>
      <c r="D755" s="35"/>
      <c r="E755" s="35"/>
      <c r="F755" s="35"/>
      <c r="G755" s="35"/>
      <c r="H755" s="35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</row>
    <row r="756" spans="1:26">
      <c r="A756" s="35"/>
      <c r="B756" s="35"/>
      <c r="C756" s="35"/>
      <c r="D756" s="35"/>
      <c r="E756" s="35"/>
      <c r="F756" s="35"/>
      <c r="G756" s="35"/>
      <c r="H756" s="35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</row>
    <row r="757" spans="1:26">
      <c r="A757" s="35"/>
      <c r="B757" s="35"/>
      <c r="C757" s="35"/>
      <c r="D757" s="35"/>
      <c r="E757" s="35"/>
      <c r="F757" s="35"/>
      <c r="G757" s="35"/>
      <c r="H757" s="35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</row>
    <row r="758" spans="1:26">
      <c r="A758" s="35"/>
      <c r="B758" s="35"/>
      <c r="C758" s="35"/>
      <c r="D758" s="35"/>
      <c r="E758" s="35"/>
      <c r="F758" s="35"/>
      <c r="G758" s="35"/>
      <c r="H758" s="35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</row>
    <row r="759" spans="1:26">
      <c r="A759" s="35"/>
      <c r="B759" s="35"/>
      <c r="C759" s="35"/>
      <c r="D759" s="35"/>
      <c r="E759" s="35"/>
      <c r="F759" s="35"/>
      <c r="G759" s="35"/>
      <c r="H759" s="35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</row>
    <row r="760" spans="1:26">
      <c r="A760" s="35"/>
      <c r="B760" s="35"/>
      <c r="C760" s="35"/>
      <c r="D760" s="35"/>
      <c r="E760" s="35"/>
      <c r="F760" s="35"/>
      <c r="G760" s="35"/>
      <c r="H760" s="35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</row>
    <row r="761" spans="1:26">
      <c r="A761" s="35"/>
      <c r="B761" s="35"/>
      <c r="C761" s="35"/>
      <c r="D761" s="35"/>
      <c r="E761" s="35"/>
      <c r="F761" s="35"/>
      <c r="G761" s="35"/>
      <c r="H761" s="35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</row>
    <row r="762" spans="1:26">
      <c r="A762" s="35"/>
      <c r="B762" s="35"/>
      <c r="C762" s="35"/>
      <c r="D762" s="35"/>
      <c r="E762" s="35"/>
      <c r="F762" s="35"/>
      <c r="G762" s="35"/>
      <c r="H762" s="35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</row>
    <row r="763" spans="1:26">
      <c r="A763" s="35"/>
      <c r="B763" s="35"/>
      <c r="C763" s="35"/>
      <c r="D763" s="35"/>
      <c r="E763" s="35"/>
      <c r="F763" s="35"/>
      <c r="G763" s="35"/>
      <c r="H763" s="35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</row>
    <row r="764" spans="1:26">
      <c r="A764" s="35"/>
      <c r="B764" s="35"/>
      <c r="C764" s="35"/>
      <c r="D764" s="35"/>
      <c r="E764" s="35"/>
      <c r="F764" s="35"/>
      <c r="G764" s="35"/>
      <c r="H764" s="35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</row>
    <row r="765" spans="1:26">
      <c r="A765" s="35"/>
      <c r="B765" s="35"/>
      <c r="C765" s="35"/>
      <c r="D765" s="35"/>
      <c r="E765" s="35"/>
      <c r="F765" s="35"/>
      <c r="G765" s="35"/>
      <c r="H765" s="35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</row>
    <row r="766" spans="1:26">
      <c r="A766" s="35"/>
      <c r="B766" s="35"/>
      <c r="C766" s="35"/>
      <c r="D766" s="35"/>
      <c r="E766" s="35"/>
      <c r="F766" s="35"/>
      <c r="G766" s="35"/>
      <c r="H766" s="35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</row>
    <row r="767" spans="1:26">
      <c r="A767" s="35"/>
      <c r="B767" s="35"/>
      <c r="C767" s="35"/>
      <c r="D767" s="35"/>
      <c r="E767" s="35"/>
      <c r="F767" s="35"/>
      <c r="G767" s="35"/>
      <c r="H767" s="35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</row>
    <row r="768" spans="1:26">
      <c r="A768" s="35"/>
      <c r="B768" s="35"/>
      <c r="C768" s="35"/>
      <c r="D768" s="35"/>
      <c r="E768" s="35"/>
      <c r="F768" s="35"/>
      <c r="G768" s="35"/>
      <c r="H768" s="35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</row>
    <row r="769" spans="1:26">
      <c r="A769" s="35"/>
      <c r="B769" s="35"/>
      <c r="C769" s="35"/>
      <c r="D769" s="35"/>
      <c r="E769" s="35"/>
      <c r="F769" s="35"/>
      <c r="G769" s="35"/>
      <c r="H769" s="35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</row>
    <row r="770" spans="1:26">
      <c r="A770" s="35"/>
      <c r="B770" s="35"/>
      <c r="C770" s="35"/>
      <c r="D770" s="35"/>
      <c r="E770" s="35"/>
      <c r="F770" s="35"/>
      <c r="G770" s="35"/>
      <c r="H770" s="35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</row>
    <row r="771" spans="1:26">
      <c r="A771" s="35"/>
      <c r="B771" s="35"/>
      <c r="C771" s="35"/>
      <c r="D771" s="35"/>
      <c r="E771" s="35"/>
      <c r="F771" s="35"/>
      <c r="G771" s="35"/>
      <c r="H771" s="35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</row>
    <row r="772" spans="1:26">
      <c r="A772" s="35"/>
      <c r="B772" s="35"/>
      <c r="C772" s="35"/>
      <c r="D772" s="35"/>
      <c r="E772" s="35"/>
      <c r="F772" s="35"/>
      <c r="G772" s="35"/>
      <c r="H772" s="35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</row>
    <row r="773" spans="1:26">
      <c r="A773" s="35"/>
      <c r="B773" s="35"/>
      <c r="C773" s="35"/>
      <c r="D773" s="35"/>
      <c r="E773" s="35"/>
      <c r="F773" s="35"/>
      <c r="G773" s="35"/>
      <c r="H773" s="35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</row>
    <row r="774" spans="1:26">
      <c r="A774" s="35"/>
      <c r="B774" s="35"/>
      <c r="C774" s="35"/>
      <c r="D774" s="35"/>
      <c r="E774" s="35"/>
      <c r="F774" s="35"/>
      <c r="G774" s="35"/>
      <c r="H774" s="35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</row>
    <row r="775" spans="1:26">
      <c r="A775" s="35"/>
      <c r="B775" s="35"/>
      <c r="C775" s="35"/>
      <c r="D775" s="35"/>
      <c r="E775" s="35"/>
      <c r="F775" s="35"/>
      <c r="G775" s="35"/>
      <c r="H775" s="35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</row>
    <row r="776" spans="1:26">
      <c r="A776" s="35"/>
      <c r="B776" s="35"/>
      <c r="C776" s="35"/>
      <c r="D776" s="35"/>
      <c r="E776" s="35"/>
      <c r="F776" s="35"/>
      <c r="G776" s="35"/>
      <c r="H776" s="35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</row>
    <row r="777" spans="1:26">
      <c r="A777" s="35"/>
      <c r="B777" s="35"/>
      <c r="C777" s="35"/>
      <c r="D777" s="35"/>
      <c r="E777" s="35"/>
      <c r="F777" s="35"/>
      <c r="G777" s="35"/>
      <c r="H777" s="35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</row>
    <row r="778" spans="1:26">
      <c r="A778" s="35"/>
      <c r="B778" s="35"/>
      <c r="C778" s="35"/>
      <c r="D778" s="35"/>
      <c r="E778" s="35"/>
      <c r="F778" s="35"/>
      <c r="G778" s="35"/>
      <c r="H778" s="35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</row>
    <row r="779" spans="1:26">
      <c r="A779" s="35"/>
      <c r="B779" s="35"/>
      <c r="C779" s="35"/>
      <c r="D779" s="35"/>
      <c r="E779" s="35"/>
      <c r="F779" s="35"/>
      <c r="G779" s="35"/>
      <c r="H779" s="35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</row>
    <row r="780" spans="1:26">
      <c r="A780" s="35"/>
      <c r="B780" s="35"/>
      <c r="C780" s="35"/>
      <c r="D780" s="35"/>
      <c r="E780" s="35"/>
      <c r="F780" s="35"/>
      <c r="G780" s="35"/>
      <c r="H780" s="35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</row>
    <row r="781" spans="1:26">
      <c r="A781" s="35"/>
      <c r="B781" s="35"/>
      <c r="C781" s="35"/>
      <c r="D781" s="35"/>
      <c r="E781" s="35"/>
      <c r="F781" s="35"/>
      <c r="G781" s="35"/>
      <c r="H781" s="35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</row>
    <row r="782" spans="1:26">
      <c r="A782" s="35"/>
      <c r="B782" s="35"/>
      <c r="C782" s="35"/>
      <c r="D782" s="35"/>
      <c r="E782" s="35"/>
      <c r="F782" s="35"/>
      <c r="G782" s="35"/>
      <c r="H782" s="35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</row>
    <row r="783" spans="1:26">
      <c r="A783" s="35"/>
      <c r="B783" s="35"/>
      <c r="C783" s="35"/>
      <c r="D783" s="35"/>
      <c r="E783" s="35"/>
      <c r="F783" s="35"/>
      <c r="G783" s="35"/>
      <c r="H783" s="35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</row>
    <row r="784" spans="1:26">
      <c r="A784" s="35"/>
      <c r="B784" s="35"/>
      <c r="C784" s="35"/>
      <c r="D784" s="35"/>
      <c r="E784" s="35"/>
      <c r="F784" s="35"/>
      <c r="G784" s="35"/>
      <c r="H784" s="35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</row>
    <row r="785" spans="1:26">
      <c r="A785" s="35"/>
      <c r="B785" s="35"/>
      <c r="C785" s="35"/>
      <c r="D785" s="35"/>
      <c r="E785" s="35"/>
      <c r="F785" s="35"/>
      <c r="G785" s="35"/>
      <c r="H785" s="35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</row>
    <row r="786" spans="1:26">
      <c r="A786" s="35"/>
      <c r="B786" s="35"/>
      <c r="C786" s="35"/>
      <c r="D786" s="35"/>
      <c r="E786" s="35"/>
      <c r="F786" s="35"/>
      <c r="G786" s="35"/>
      <c r="H786" s="35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</row>
    <row r="787" spans="1:26">
      <c r="A787" s="35"/>
      <c r="B787" s="35"/>
      <c r="C787" s="35"/>
      <c r="D787" s="35"/>
      <c r="E787" s="35"/>
      <c r="F787" s="35"/>
      <c r="G787" s="35"/>
      <c r="H787" s="35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</row>
    <row r="788" spans="1:26">
      <c r="A788" s="35"/>
      <c r="B788" s="35"/>
      <c r="C788" s="35"/>
      <c r="D788" s="35"/>
      <c r="E788" s="35"/>
      <c r="F788" s="35"/>
      <c r="G788" s="35"/>
      <c r="H788" s="35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</row>
    <row r="789" spans="1:26">
      <c r="A789" s="35"/>
      <c r="B789" s="35"/>
      <c r="C789" s="35"/>
      <c r="D789" s="35"/>
      <c r="E789" s="35"/>
      <c r="F789" s="35"/>
      <c r="G789" s="35"/>
      <c r="H789" s="35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</row>
    <row r="790" spans="1:26">
      <c r="A790" s="35"/>
      <c r="B790" s="35"/>
      <c r="C790" s="35"/>
      <c r="D790" s="35"/>
      <c r="E790" s="35"/>
      <c r="F790" s="35"/>
      <c r="G790" s="35"/>
      <c r="H790" s="35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</row>
    <row r="791" spans="1:26">
      <c r="A791" s="35"/>
      <c r="B791" s="35"/>
      <c r="C791" s="35"/>
      <c r="D791" s="35"/>
      <c r="E791" s="35"/>
      <c r="F791" s="35"/>
      <c r="G791" s="35"/>
      <c r="H791" s="35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</row>
    <row r="792" spans="1:26">
      <c r="A792" s="35"/>
      <c r="B792" s="35"/>
      <c r="C792" s="35"/>
      <c r="D792" s="35"/>
      <c r="E792" s="35"/>
      <c r="F792" s="35"/>
      <c r="G792" s="35"/>
      <c r="H792" s="35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</row>
    <row r="793" spans="1:26">
      <c r="A793" s="35"/>
      <c r="B793" s="35"/>
      <c r="C793" s="35"/>
      <c r="D793" s="35"/>
      <c r="E793" s="35"/>
      <c r="F793" s="35"/>
      <c r="G793" s="35"/>
      <c r="H793" s="35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</row>
    <row r="794" spans="1:26">
      <c r="A794" s="35"/>
      <c r="B794" s="35"/>
      <c r="C794" s="35"/>
      <c r="D794" s="35"/>
      <c r="E794" s="35"/>
      <c r="F794" s="35"/>
      <c r="G794" s="35"/>
      <c r="H794" s="35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</row>
    <row r="795" spans="1:26">
      <c r="A795" s="35"/>
      <c r="B795" s="35"/>
      <c r="C795" s="35"/>
      <c r="D795" s="35"/>
      <c r="E795" s="35"/>
      <c r="F795" s="35"/>
      <c r="G795" s="35"/>
      <c r="H795" s="35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</row>
    <row r="796" spans="1:26">
      <c r="A796" s="35"/>
      <c r="B796" s="35"/>
      <c r="C796" s="35"/>
      <c r="D796" s="35"/>
      <c r="E796" s="35"/>
      <c r="F796" s="35"/>
      <c r="G796" s="35"/>
      <c r="H796" s="35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</row>
    <row r="797" spans="1:26">
      <c r="A797" s="35"/>
      <c r="B797" s="35"/>
      <c r="C797" s="35"/>
      <c r="D797" s="35"/>
      <c r="E797" s="35"/>
      <c r="F797" s="35"/>
      <c r="G797" s="35"/>
      <c r="H797" s="35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</row>
    <row r="798" spans="1:26">
      <c r="A798" s="35"/>
      <c r="B798" s="35"/>
      <c r="C798" s="35"/>
      <c r="D798" s="35"/>
      <c r="E798" s="35"/>
      <c r="F798" s="35"/>
      <c r="G798" s="35"/>
      <c r="H798" s="35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</row>
    <row r="799" spans="1:26">
      <c r="A799" s="35"/>
      <c r="B799" s="35"/>
      <c r="C799" s="35"/>
      <c r="D799" s="35"/>
      <c r="E799" s="35"/>
      <c r="F799" s="35"/>
      <c r="G799" s="35"/>
      <c r="H799" s="35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</row>
    <row r="800" spans="1:26">
      <c r="A800" s="35"/>
      <c r="B800" s="35"/>
      <c r="C800" s="35"/>
      <c r="D800" s="35"/>
      <c r="E800" s="35"/>
      <c r="F800" s="35"/>
      <c r="G800" s="35"/>
      <c r="H800" s="35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</row>
    <row r="801" spans="1:26">
      <c r="A801" s="35"/>
      <c r="B801" s="35"/>
      <c r="C801" s="35"/>
      <c r="D801" s="35"/>
      <c r="E801" s="35"/>
      <c r="F801" s="35"/>
      <c r="G801" s="35"/>
      <c r="H801" s="35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</row>
    <row r="802" spans="1:26">
      <c r="A802" s="35"/>
      <c r="B802" s="35"/>
      <c r="C802" s="35"/>
      <c r="D802" s="35"/>
      <c r="E802" s="35"/>
      <c r="F802" s="35"/>
      <c r="G802" s="35"/>
      <c r="H802" s="35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</row>
    <row r="803" spans="1:26">
      <c r="A803" s="35"/>
      <c r="B803" s="35"/>
      <c r="C803" s="35"/>
      <c r="D803" s="35"/>
      <c r="E803" s="35"/>
      <c r="F803" s="35"/>
      <c r="G803" s="35"/>
      <c r="H803" s="35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</row>
    <row r="804" spans="1:26">
      <c r="A804" s="35"/>
      <c r="B804" s="35"/>
      <c r="C804" s="35"/>
      <c r="D804" s="35"/>
      <c r="E804" s="35"/>
      <c r="F804" s="35"/>
      <c r="G804" s="35"/>
      <c r="H804" s="35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</row>
    <row r="805" spans="1:26">
      <c r="A805" s="35"/>
      <c r="B805" s="35"/>
      <c r="C805" s="35"/>
      <c r="D805" s="35"/>
      <c r="E805" s="35"/>
      <c r="F805" s="35"/>
      <c r="G805" s="35"/>
      <c r="H805" s="35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</row>
    <row r="806" spans="1:26">
      <c r="A806" s="35"/>
      <c r="B806" s="35"/>
      <c r="C806" s="35"/>
      <c r="D806" s="35"/>
      <c r="E806" s="35"/>
      <c r="F806" s="35"/>
      <c r="G806" s="35"/>
      <c r="H806" s="35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</row>
    <row r="807" spans="1:26">
      <c r="A807" s="35"/>
      <c r="B807" s="35"/>
      <c r="C807" s="35"/>
      <c r="D807" s="35"/>
      <c r="E807" s="35"/>
      <c r="F807" s="35"/>
      <c r="G807" s="35"/>
      <c r="H807" s="35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</row>
    <row r="808" spans="1:26">
      <c r="A808" s="35"/>
      <c r="B808" s="35"/>
      <c r="C808" s="35"/>
      <c r="D808" s="35"/>
      <c r="E808" s="35"/>
      <c r="F808" s="35"/>
      <c r="G808" s="35"/>
      <c r="H808" s="35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</row>
    <row r="809" spans="1:26">
      <c r="A809" s="35"/>
      <c r="B809" s="35"/>
      <c r="C809" s="35"/>
      <c r="D809" s="35"/>
      <c r="E809" s="35"/>
      <c r="F809" s="35"/>
      <c r="G809" s="35"/>
      <c r="H809" s="35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</row>
    <row r="810" spans="1:26">
      <c r="A810" s="35"/>
      <c r="B810" s="35"/>
      <c r="C810" s="35"/>
      <c r="D810" s="35"/>
      <c r="E810" s="35"/>
      <c r="F810" s="35"/>
      <c r="G810" s="35"/>
      <c r="H810" s="35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</row>
    <row r="811" spans="1:26">
      <c r="A811" s="35"/>
      <c r="B811" s="35"/>
      <c r="C811" s="35"/>
      <c r="D811" s="35"/>
      <c r="E811" s="35"/>
      <c r="F811" s="35"/>
      <c r="G811" s="35"/>
      <c r="H811" s="35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</row>
    <row r="812" spans="1:26">
      <c r="A812" s="35"/>
      <c r="B812" s="35"/>
      <c r="C812" s="35"/>
      <c r="D812" s="35"/>
      <c r="E812" s="35"/>
      <c r="F812" s="35"/>
      <c r="G812" s="35"/>
      <c r="H812" s="35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</row>
    <row r="813" spans="1:26">
      <c r="A813" s="35"/>
      <c r="B813" s="35"/>
      <c r="C813" s="35"/>
      <c r="D813" s="35"/>
      <c r="E813" s="35"/>
      <c r="F813" s="35"/>
      <c r="G813" s="35"/>
      <c r="H813" s="35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</row>
    <row r="814" spans="1:26">
      <c r="A814" s="35"/>
      <c r="B814" s="35"/>
      <c r="C814" s="35"/>
      <c r="D814" s="35"/>
      <c r="E814" s="35"/>
      <c r="F814" s="35"/>
      <c r="G814" s="35"/>
      <c r="H814" s="35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</row>
    <row r="815" spans="1:26">
      <c r="A815" s="35"/>
      <c r="B815" s="35"/>
      <c r="C815" s="35"/>
      <c r="D815" s="35"/>
      <c r="E815" s="35"/>
      <c r="F815" s="35"/>
      <c r="G815" s="35"/>
      <c r="H815" s="35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</row>
    <row r="816" spans="1:26">
      <c r="A816" s="35"/>
      <c r="B816" s="35"/>
      <c r="C816" s="35"/>
      <c r="D816" s="35"/>
      <c r="E816" s="35"/>
      <c r="F816" s="35"/>
      <c r="G816" s="35"/>
      <c r="H816" s="35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</row>
    <row r="817" spans="1:26">
      <c r="A817" s="35"/>
      <c r="B817" s="35"/>
      <c r="C817" s="35"/>
      <c r="D817" s="35"/>
      <c r="E817" s="35"/>
      <c r="F817" s="35"/>
      <c r="G817" s="35"/>
      <c r="H817" s="35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</row>
    <row r="818" spans="1:26">
      <c r="A818" s="35"/>
      <c r="B818" s="35"/>
      <c r="C818" s="35"/>
      <c r="D818" s="35"/>
      <c r="E818" s="35"/>
      <c r="F818" s="35"/>
      <c r="G818" s="35"/>
      <c r="H818" s="35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</row>
    <row r="819" spans="1:26">
      <c r="A819" s="35"/>
      <c r="B819" s="35"/>
      <c r="C819" s="35"/>
      <c r="D819" s="35"/>
      <c r="E819" s="35"/>
      <c r="F819" s="35"/>
      <c r="G819" s="35"/>
      <c r="H819" s="35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</row>
    <row r="820" spans="1:26">
      <c r="A820" s="35"/>
      <c r="B820" s="35"/>
      <c r="C820" s="35"/>
      <c r="D820" s="35"/>
      <c r="E820" s="35"/>
      <c r="F820" s="35"/>
      <c r="G820" s="35"/>
      <c r="H820" s="35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</row>
    <row r="821" spans="1:26">
      <c r="A821" s="35"/>
      <c r="B821" s="35"/>
      <c r="C821" s="35"/>
      <c r="D821" s="35"/>
      <c r="E821" s="35"/>
      <c r="F821" s="35"/>
      <c r="G821" s="35"/>
      <c r="H821" s="35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</row>
    <row r="822" spans="1:26">
      <c r="A822" s="35"/>
      <c r="B822" s="35"/>
      <c r="C822" s="35"/>
      <c r="D822" s="35"/>
      <c r="E822" s="35"/>
      <c r="F822" s="35"/>
      <c r="G822" s="35"/>
      <c r="H822" s="35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</row>
    <row r="823" spans="1:26">
      <c r="A823" s="35"/>
      <c r="B823" s="35"/>
      <c r="C823" s="35"/>
      <c r="D823" s="35"/>
      <c r="E823" s="35"/>
      <c r="F823" s="35"/>
      <c r="G823" s="35"/>
      <c r="H823" s="35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</row>
    <row r="824" spans="1:26">
      <c r="A824" s="35"/>
      <c r="B824" s="35"/>
      <c r="C824" s="35"/>
      <c r="D824" s="35"/>
      <c r="E824" s="35"/>
      <c r="F824" s="35"/>
      <c r="G824" s="35"/>
      <c r="H824" s="35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</row>
    <row r="825" spans="1:26">
      <c r="A825" s="35"/>
      <c r="B825" s="35"/>
      <c r="C825" s="35"/>
      <c r="D825" s="35"/>
      <c r="E825" s="35"/>
      <c r="F825" s="35"/>
      <c r="G825" s="35"/>
      <c r="H825" s="35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</row>
    <row r="826" spans="1:26">
      <c r="A826" s="35"/>
      <c r="B826" s="35"/>
      <c r="C826" s="35"/>
      <c r="D826" s="35"/>
      <c r="E826" s="35"/>
      <c r="F826" s="35"/>
      <c r="G826" s="35"/>
      <c r="H826" s="35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</row>
    <row r="827" spans="1:26">
      <c r="A827" s="35"/>
      <c r="B827" s="35"/>
      <c r="C827" s="35"/>
      <c r="D827" s="35"/>
      <c r="E827" s="35"/>
      <c r="F827" s="35"/>
      <c r="G827" s="35"/>
      <c r="H827" s="35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</row>
    <row r="828" spans="1:26">
      <c r="A828" s="35"/>
      <c r="B828" s="35"/>
      <c r="C828" s="35"/>
      <c r="D828" s="35"/>
      <c r="E828" s="35"/>
      <c r="F828" s="35"/>
      <c r="G828" s="35"/>
      <c r="H828" s="35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</row>
    <row r="829" spans="1:26">
      <c r="A829" s="35"/>
      <c r="B829" s="35"/>
      <c r="C829" s="35"/>
      <c r="D829" s="35"/>
      <c r="E829" s="35"/>
      <c r="F829" s="35"/>
      <c r="G829" s="35"/>
      <c r="H829" s="35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</row>
    <row r="830" spans="1:26">
      <c r="A830" s="35"/>
      <c r="B830" s="35"/>
      <c r="C830" s="35"/>
      <c r="D830" s="35"/>
      <c r="E830" s="35"/>
      <c r="F830" s="35"/>
      <c r="G830" s="35"/>
      <c r="H830" s="35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</row>
    <row r="831" spans="1:26">
      <c r="A831" s="35"/>
      <c r="B831" s="35"/>
      <c r="C831" s="35"/>
      <c r="D831" s="35"/>
      <c r="E831" s="35"/>
      <c r="F831" s="35"/>
      <c r="G831" s="35"/>
      <c r="H831" s="35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</row>
    <row r="832" spans="1:26">
      <c r="A832" s="35"/>
      <c r="B832" s="35"/>
      <c r="C832" s="35"/>
      <c r="D832" s="35"/>
      <c r="E832" s="35"/>
      <c r="F832" s="35"/>
      <c r="G832" s="35"/>
      <c r="H832" s="35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</row>
    <row r="833" spans="1:26">
      <c r="A833" s="35"/>
      <c r="B833" s="35"/>
      <c r="C833" s="35"/>
      <c r="D833" s="35"/>
      <c r="E833" s="35"/>
      <c r="F833" s="35"/>
      <c r="G833" s="35"/>
      <c r="H833" s="35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</row>
    <row r="834" spans="1:26">
      <c r="A834" s="35"/>
      <c r="B834" s="35"/>
      <c r="C834" s="35"/>
      <c r="D834" s="35"/>
      <c r="E834" s="35"/>
      <c r="F834" s="35"/>
      <c r="G834" s="35"/>
      <c r="H834" s="35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</row>
    <row r="835" spans="1:26">
      <c r="A835" s="35"/>
      <c r="B835" s="35"/>
      <c r="C835" s="35"/>
      <c r="D835" s="35"/>
      <c r="E835" s="35"/>
      <c r="F835" s="35"/>
      <c r="G835" s="35"/>
      <c r="H835" s="35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</row>
    <row r="836" spans="1:26">
      <c r="A836" s="35"/>
      <c r="B836" s="35"/>
      <c r="C836" s="35"/>
      <c r="D836" s="35"/>
      <c r="E836" s="35"/>
      <c r="F836" s="35"/>
      <c r="G836" s="35"/>
      <c r="H836" s="35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</row>
    <row r="837" spans="1:26">
      <c r="A837" s="35"/>
      <c r="B837" s="35"/>
      <c r="C837" s="35"/>
      <c r="D837" s="35"/>
      <c r="E837" s="35"/>
      <c r="F837" s="35"/>
      <c r="G837" s="35"/>
      <c r="H837" s="35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</row>
    <row r="838" spans="1:26">
      <c r="A838" s="35"/>
      <c r="B838" s="35"/>
      <c r="C838" s="35"/>
      <c r="D838" s="35"/>
      <c r="E838" s="35"/>
      <c r="F838" s="35"/>
      <c r="G838" s="35"/>
      <c r="H838" s="35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</row>
    <row r="839" spans="1:26">
      <c r="A839" s="35"/>
      <c r="B839" s="35"/>
      <c r="C839" s="35"/>
      <c r="D839" s="35"/>
      <c r="E839" s="35"/>
      <c r="F839" s="35"/>
      <c r="G839" s="35"/>
      <c r="H839" s="35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</row>
    <row r="840" spans="1:26">
      <c r="A840" s="35"/>
      <c r="B840" s="35"/>
      <c r="C840" s="35"/>
      <c r="D840" s="35"/>
      <c r="E840" s="35"/>
      <c r="F840" s="35"/>
      <c r="G840" s="35"/>
      <c r="H840" s="35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</row>
    <row r="841" spans="1:26">
      <c r="A841" s="35"/>
      <c r="B841" s="35"/>
      <c r="C841" s="35"/>
      <c r="D841" s="35"/>
      <c r="E841" s="35"/>
      <c r="F841" s="35"/>
      <c r="G841" s="35"/>
      <c r="H841" s="35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</row>
    <row r="842" spans="1:26">
      <c r="A842" s="35"/>
      <c r="B842" s="35"/>
      <c r="C842" s="35"/>
      <c r="D842" s="35"/>
      <c r="E842" s="35"/>
      <c r="F842" s="35"/>
      <c r="G842" s="35"/>
      <c r="H842" s="35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</row>
    <row r="843" spans="1:26">
      <c r="A843" s="35"/>
      <c r="B843" s="35"/>
      <c r="C843" s="35"/>
      <c r="D843" s="35"/>
      <c r="E843" s="35"/>
      <c r="F843" s="35"/>
      <c r="G843" s="35"/>
      <c r="H843" s="35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</row>
    <row r="844" spans="1:26">
      <c r="A844" s="35"/>
      <c r="B844" s="35"/>
      <c r="C844" s="35"/>
      <c r="D844" s="35"/>
      <c r="E844" s="35"/>
      <c r="F844" s="35"/>
      <c r="G844" s="35"/>
      <c r="H844" s="35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</row>
    <row r="845" spans="1:26">
      <c r="A845" s="35"/>
      <c r="B845" s="35"/>
      <c r="C845" s="35"/>
      <c r="D845" s="35"/>
      <c r="E845" s="35"/>
      <c r="F845" s="35"/>
      <c r="G845" s="35"/>
      <c r="H845" s="35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</row>
    <row r="846" spans="1:26">
      <c r="A846" s="35"/>
      <c r="B846" s="35"/>
      <c r="C846" s="35"/>
      <c r="D846" s="35"/>
      <c r="E846" s="35"/>
      <c r="F846" s="35"/>
      <c r="G846" s="35"/>
      <c r="H846" s="35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</row>
    <row r="847" spans="1:26">
      <c r="A847" s="35"/>
      <c r="B847" s="35"/>
      <c r="C847" s="35"/>
      <c r="D847" s="35"/>
      <c r="E847" s="35"/>
      <c r="F847" s="35"/>
      <c r="G847" s="35"/>
      <c r="H847" s="35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</row>
    <row r="848" spans="1:26">
      <c r="A848" s="35"/>
      <c r="B848" s="35"/>
      <c r="C848" s="35"/>
      <c r="D848" s="35"/>
      <c r="E848" s="35"/>
      <c r="F848" s="35"/>
      <c r="G848" s="35"/>
      <c r="H848" s="35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</row>
    <row r="849" spans="1:26">
      <c r="A849" s="35"/>
      <c r="B849" s="35"/>
      <c r="C849" s="35"/>
      <c r="D849" s="35"/>
      <c r="E849" s="35"/>
      <c r="F849" s="35"/>
      <c r="G849" s="35"/>
      <c r="H849" s="35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</row>
    <row r="850" spans="1:26">
      <c r="A850" s="35"/>
      <c r="B850" s="35"/>
      <c r="C850" s="35"/>
      <c r="D850" s="35"/>
      <c r="E850" s="35"/>
      <c r="F850" s="35"/>
      <c r="G850" s="35"/>
      <c r="H850" s="35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</row>
    <row r="851" spans="1:26">
      <c r="A851" s="35"/>
      <c r="B851" s="35"/>
      <c r="C851" s="35"/>
      <c r="D851" s="35"/>
      <c r="E851" s="35"/>
      <c r="F851" s="35"/>
      <c r="G851" s="35"/>
      <c r="H851" s="35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</row>
    <row r="852" spans="1:26">
      <c r="A852" s="35"/>
      <c r="B852" s="35"/>
      <c r="C852" s="35"/>
      <c r="D852" s="35"/>
      <c r="E852" s="35"/>
      <c r="F852" s="35"/>
      <c r="G852" s="35"/>
      <c r="H852" s="35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</row>
    <row r="853" spans="1:26">
      <c r="A853" s="35"/>
      <c r="B853" s="35"/>
      <c r="C853" s="35"/>
      <c r="D853" s="35"/>
      <c r="E853" s="35"/>
      <c r="F853" s="35"/>
      <c r="G853" s="35"/>
      <c r="H853" s="35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</row>
    <row r="854" spans="1:26">
      <c r="A854" s="35"/>
      <c r="B854" s="35"/>
      <c r="C854" s="35"/>
      <c r="D854" s="35"/>
      <c r="E854" s="35"/>
      <c r="F854" s="35"/>
      <c r="G854" s="35"/>
      <c r="H854" s="35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</row>
    <row r="855" spans="1:26">
      <c r="A855" s="35"/>
      <c r="B855" s="35"/>
      <c r="C855" s="35"/>
      <c r="D855" s="35"/>
      <c r="E855" s="35"/>
      <c r="F855" s="35"/>
      <c r="G855" s="35"/>
      <c r="H855" s="35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</row>
    <row r="856" spans="1:26">
      <c r="A856" s="35"/>
      <c r="B856" s="35"/>
      <c r="C856" s="35"/>
      <c r="D856" s="35"/>
      <c r="E856" s="35"/>
      <c r="F856" s="35"/>
      <c r="G856" s="35"/>
      <c r="H856" s="35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</row>
    <row r="857" spans="1:26">
      <c r="A857" s="35"/>
      <c r="B857" s="35"/>
      <c r="C857" s="35"/>
      <c r="D857" s="35"/>
      <c r="E857" s="35"/>
      <c r="F857" s="35"/>
      <c r="G857" s="35"/>
      <c r="H857" s="35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</row>
    <row r="858" spans="1:26">
      <c r="A858" s="35"/>
      <c r="B858" s="35"/>
      <c r="C858" s="35"/>
      <c r="D858" s="35"/>
      <c r="E858" s="35"/>
      <c r="F858" s="35"/>
      <c r="G858" s="35"/>
      <c r="H858" s="35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</row>
    <row r="859" spans="1:26">
      <c r="A859" s="35"/>
      <c r="B859" s="35"/>
      <c r="C859" s="35"/>
      <c r="D859" s="35"/>
      <c r="E859" s="35"/>
      <c r="F859" s="35"/>
      <c r="G859" s="35"/>
      <c r="H859" s="35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</row>
    <row r="860" spans="1:26">
      <c r="A860" s="35"/>
      <c r="B860" s="35"/>
      <c r="C860" s="35"/>
      <c r="D860" s="35"/>
      <c r="E860" s="35"/>
      <c r="F860" s="35"/>
      <c r="G860" s="35"/>
      <c r="H860" s="35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</row>
    <row r="861" spans="1:26">
      <c r="A861" s="35"/>
      <c r="B861" s="35"/>
      <c r="C861" s="35"/>
      <c r="D861" s="35"/>
      <c r="E861" s="35"/>
      <c r="F861" s="35"/>
      <c r="G861" s="35"/>
      <c r="H861" s="35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</row>
    <row r="862" spans="1:26">
      <c r="A862" s="35"/>
      <c r="B862" s="35"/>
      <c r="C862" s="35"/>
      <c r="D862" s="35"/>
      <c r="E862" s="35"/>
      <c r="F862" s="35"/>
      <c r="G862" s="35"/>
      <c r="H862" s="35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</row>
    <row r="863" spans="1:26">
      <c r="A863" s="35"/>
      <c r="B863" s="35"/>
      <c r="C863" s="35"/>
      <c r="D863" s="35"/>
      <c r="E863" s="35"/>
      <c r="F863" s="35"/>
      <c r="G863" s="35"/>
      <c r="H863" s="35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</row>
    <row r="864" spans="1:26">
      <c r="A864" s="35"/>
      <c r="B864" s="35"/>
      <c r="C864" s="35"/>
      <c r="D864" s="35"/>
      <c r="E864" s="35"/>
      <c r="F864" s="35"/>
      <c r="G864" s="35"/>
      <c r="H864" s="35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</row>
    <row r="865" spans="1:26">
      <c r="A865" s="35"/>
      <c r="B865" s="35"/>
      <c r="C865" s="35"/>
      <c r="D865" s="35"/>
      <c r="E865" s="35"/>
      <c r="F865" s="35"/>
      <c r="G865" s="35"/>
      <c r="H865" s="35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</row>
    <row r="866" spans="1:26">
      <c r="A866" s="35"/>
      <c r="B866" s="35"/>
      <c r="C866" s="35"/>
      <c r="D866" s="35"/>
      <c r="E866" s="35"/>
      <c r="F866" s="35"/>
      <c r="G866" s="35"/>
      <c r="H866" s="35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</row>
    <row r="867" spans="1:26">
      <c r="A867" s="35"/>
      <c r="B867" s="35"/>
      <c r="C867" s="35"/>
      <c r="D867" s="35"/>
      <c r="E867" s="35"/>
      <c r="F867" s="35"/>
      <c r="G867" s="35"/>
      <c r="H867" s="35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</row>
    <row r="868" spans="1:26">
      <c r="A868" s="35"/>
      <c r="B868" s="35"/>
      <c r="C868" s="35"/>
      <c r="D868" s="35"/>
      <c r="E868" s="35"/>
      <c r="F868" s="35"/>
      <c r="G868" s="35"/>
      <c r="H868" s="35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</row>
    <row r="869" spans="1:26">
      <c r="A869" s="35"/>
      <c r="B869" s="35"/>
      <c r="C869" s="35"/>
      <c r="D869" s="35"/>
      <c r="E869" s="35"/>
      <c r="F869" s="35"/>
      <c r="G869" s="35"/>
      <c r="H869" s="35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</row>
    <row r="870" spans="1:26">
      <c r="A870" s="35"/>
      <c r="B870" s="35"/>
      <c r="C870" s="35"/>
      <c r="D870" s="35"/>
      <c r="E870" s="35"/>
      <c r="F870" s="35"/>
      <c r="G870" s="35"/>
      <c r="H870" s="35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</row>
    <row r="871" spans="1:26">
      <c r="A871" s="35"/>
      <c r="B871" s="35"/>
      <c r="C871" s="35"/>
      <c r="D871" s="35"/>
      <c r="E871" s="35"/>
      <c r="F871" s="35"/>
      <c r="G871" s="35"/>
      <c r="H871" s="35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</row>
    <row r="872" spans="1:26">
      <c r="A872" s="35"/>
      <c r="B872" s="35"/>
      <c r="C872" s="35"/>
      <c r="D872" s="35"/>
      <c r="E872" s="35"/>
      <c r="F872" s="35"/>
      <c r="G872" s="35"/>
      <c r="H872" s="35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</row>
    <row r="873" spans="1:26">
      <c r="A873" s="35"/>
      <c r="B873" s="35"/>
      <c r="C873" s="35"/>
      <c r="D873" s="35"/>
      <c r="E873" s="35"/>
      <c r="F873" s="35"/>
      <c r="G873" s="35"/>
      <c r="H873" s="35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</row>
    <row r="874" spans="1:26">
      <c r="A874" s="35"/>
      <c r="B874" s="35"/>
      <c r="C874" s="35"/>
      <c r="D874" s="35"/>
      <c r="E874" s="35"/>
      <c r="F874" s="35"/>
      <c r="G874" s="35"/>
      <c r="H874" s="35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</row>
    <row r="875" spans="1:26">
      <c r="A875" s="35"/>
      <c r="B875" s="35"/>
      <c r="C875" s="35"/>
      <c r="D875" s="35"/>
      <c r="E875" s="35"/>
      <c r="F875" s="35"/>
      <c r="G875" s="35"/>
      <c r="H875" s="35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</row>
    <row r="876" spans="1:26">
      <c r="A876" s="35"/>
      <c r="B876" s="35"/>
      <c r="C876" s="35"/>
      <c r="D876" s="35"/>
      <c r="E876" s="35"/>
      <c r="F876" s="35"/>
      <c r="G876" s="35"/>
      <c r="H876" s="35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</row>
    <row r="877" spans="1:26">
      <c r="A877" s="35"/>
      <c r="B877" s="35"/>
      <c r="C877" s="35"/>
      <c r="D877" s="35"/>
      <c r="E877" s="35"/>
      <c r="F877" s="35"/>
      <c r="G877" s="35"/>
      <c r="H877" s="35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</row>
    <row r="878" spans="1:26">
      <c r="A878" s="35"/>
      <c r="B878" s="35"/>
      <c r="C878" s="35"/>
      <c r="D878" s="35"/>
      <c r="E878" s="35"/>
      <c r="F878" s="35"/>
      <c r="G878" s="35"/>
      <c r="H878" s="35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</row>
    <row r="879" spans="1:26">
      <c r="A879" s="35"/>
      <c r="B879" s="35"/>
      <c r="C879" s="35"/>
      <c r="D879" s="35"/>
      <c r="E879" s="35"/>
      <c r="F879" s="35"/>
      <c r="G879" s="35"/>
      <c r="H879" s="35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</row>
    <row r="880" spans="1:26">
      <c r="A880" s="35"/>
      <c r="B880" s="35"/>
      <c r="C880" s="35"/>
      <c r="D880" s="35"/>
      <c r="E880" s="35"/>
      <c r="F880" s="35"/>
      <c r="G880" s="35"/>
      <c r="H880" s="35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</row>
    <row r="881" spans="1:26">
      <c r="A881" s="35"/>
      <c r="B881" s="35"/>
      <c r="C881" s="35"/>
      <c r="D881" s="35"/>
      <c r="E881" s="35"/>
      <c r="F881" s="35"/>
      <c r="G881" s="35"/>
      <c r="H881" s="35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</row>
    <row r="882" spans="1:26">
      <c r="A882" s="35"/>
      <c r="B882" s="35"/>
      <c r="C882" s="35"/>
      <c r="D882" s="35"/>
      <c r="E882" s="35"/>
      <c r="F882" s="35"/>
      <c r="G882" s="35"/>
      <c r="H882" s="35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</row>
    <row r="883" spans="1:26">
      <c r="A883" s="35"/>
      <c r="B883" s="35"/>
      <c r="C883" s="35"/>
      <c r="D883" s="35"/>
      <c r="E883" s="35"/>
      <c r="F883" s="35"/>
      <c r="G883" s="35"/>
      <c r="H883" s="35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</row>
    <row r="884" spans="1:26">
      <c r="A884" s="35"/>
      <c r="B884" s="35"/>
      <c r="C884" s="35"/>
      <c r="D884" s="35"/>
      <c r="E884" s="35"/>
      <c r="F884" s="35"/>
      <c r="G884" s="35"/>
      <c r="H884" s="35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</row>
    <row r="885" spans="1:26">
      <c r="A885" s="35"/>
      <c r="B885" s="35"/>
      <c r="C885" s="35"/>
      <c r="D885" s="35"/>
      <c r="E885" s="35"/>
      <c r="F885" s="35"/>
      <c r="G885" s="35"/>
      <c r="H885" s="35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</row>
    <row r="886" spans="1:26">
      <c r="A886" s="35"/>
      <c r="B886" s="35"/>
      <c r="C886" s="35"/>
      <c r="D886" s="35"/>
      <c r="E886" s="35"/>
      <c r="F886" s="35"/>
      <c r="G886" s="35"/>
      <c r="H886" s="35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</row>
    <row r="887" spans="1:26">
      <c r="A887" s="35"/>
      <c r="B887" s="35"/>
      <c r="C887" s="35"/>
      <c r="D887" s="35"/>
      <c r="E887" s="35"/>
      <c r="F887" s="35"/>
      <c r="G887" s="35"/>
      <c r="H887" s="35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</row>
    <row r="888" spans="1:26">
      <c r="A888" s="35"/>
      <c r="B888" s="35"/>
      <c r="C888" s="35"/>
      <c r="D888" s="35"/>
      <c r="E888" s="35"/>
      <c r="F888" s="35"/>
      <c r="G888" s="35"/>
      <c r="H888" s="35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</row>
    <row r="889" spans="1:26">
      <c r="A889" s="35"/>
      <c r="B889" s="35"/>
      <c r="C889" s="35"/>
      <c r="D889" s="35"/>
      <c r="E889" s="35"/>
      <c r="F889" s="35"/>
      <c r="G889" s="35"/>
      <c r="H889" s="35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</row>
    <row r="890" spans="1:26">
      <c r="A890" s="35"/>
      <c r="B890" s="35"/>
      <c r="C890" s="35"/>
      <c r="D890" s="35"/>
      <c r="E890" s="35"/>
      <c r="F890" s="35"/>
      <c r="G890" s="35"/>
      <c r="H890" s="35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</row>
    <row r="891" spans="1:26">
      <c r="A891" s="35"/>
      <c r="B891" s="35"/>
      <c r="C891" s="35"/>
      <c r="D891" s="35"/>
      <c r="E891" s="35"/>
      <c r="F891" s="35"/>
      <c r="G891" s="35"/>
      <c r="H891" s="35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</row>
    <row r="892" spans="1:26">
      <c r="A892" s="35"/>
      <c r="B892" s="35"/>
      <c r="C892" s="35"/>
      <c r="D892" s="35"/>
      <c r="E892" s="35"/>
      <c r="F892" s="35"/>
      <c r="G892" s="35"/>
      <c r="H892" s="35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</row>
    <row r="893" spans="1:26">
      <c r="A893" s="35"/>
      <c r="B893" s="35"/>
      <c r="C893" s="35"/>
      <c r="D893" s="35"/>
      <c r="E893" s="35"/>
      <c r="F893" s="35"/>
      <c r="G893" s="35"/>
      <c r="H893" s="35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</row>
    <row r="894" spans="1:26">
      <c r="A894" s="35"/>
      <c r="B894" s="35"/>
      <c r="C894" s="35"/>
      <c r="D894" s="35"/>
      <c r="E894" s="35"/>
      <c r="F894" s="35"/>
      <c r="G894" s="35"/>
      <c r="H894" s="35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</row>
    <row r="895" spans="1:26">
      <c r="A895" s="35"/>
      <c r="B895" s="35"/>
      <c r="C895" s="35"/>
      <c r="D895" s="35"/>
      <c r="E895" s="35"/>
      <c r="F895" s="35"/>
      <c r="G895" s="35"/>
      <c r="H895" s="35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</row>
    <row r="896" spans="1:26">
      <c r="A896" s="35"/>
      <c r="B896" s="35"/>
      <c r="C896" s="35"/>
      <c r="D896" s="35"/>
      <c r="E896" s="35"/>
      <c r="F896" s="35"/>
      <c r="G896" s="35"/>
      <c r="H896" s="35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</row>
    <row r="897" spans="1:26">
      <c r="A897" s="35"/>
      <c r="B897" s="35"/>
      <c r="C897" s="35"/>
      <c r="D897" s="35"/>
      <c r="E897" s="35"/>
      <c r="F897" s="35"/>
      <c r="G897" s="35"/>
      <c r="H897" s="35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</row>
    <row r="898" spans="1:26">
      <c r="A898" s="35"/>
      <c r="B898" s="35"/>
      <c r="C898" s="35"/>
      <c r="D898" s="35"/>
      <c r="E898" s="35"/>
      <c r="F898" s="35"/>
      <c r="G898" s="35"/>
      <c r="H898" s="35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</row>
    <row r="899" spans="1:26">
      <c r="A899" s="35"/>
      <c r="B899" s="35"/>
      <c r="C899" s="35"/>
      <c r="D899" s="35"/>
      <c r="E899" s="35"/>
      <c r="F899" s="35"/>
      <c r="G899" s="35"/>
      <c r="H899" s="35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</row>
    <row r="900" spans="1:26">
      <c r="A900" s="35"/>
      <c r="B900" s="35"/>
      <c r="C900" s="35"/>
      <c r="D900" s="35"/>
      <c r="E900" s="35"/>
      <c r="F900" s="35"/>
      <c r="G900" s="35"/>
      <c r="H900" s="35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</row>
    <row r="901" spans="1:26">
      <c r="A901" s="35"/>
      <c r="B901" s="35"/>
      <c r="C901" s="35"/>
      <c r="D901" s="35"/>
      <c r="E901" s="35"/>
      <c r="F901" s="35"/>
      <c r="G901" s="35"/>
      <c r="H901" s="35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</row>
    <row r="902" spans="1:26">
      <c r="A902" s="35"/>
      <c r="B902" s="35"/>
      <c r="C902" s="35"/>
      <c r="D902" s="35"/>
      <c r="E902" s="35"/>
      <c r="F902" s="35"/>
      <c r="G902" s="35"/>
      <c r="H902" s="35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</row>
    <row r="903" spans="1:26">
      <c r="A903" s="35"/>
      <c r="B903" s="35"/>
      <c r="C903" s="35"/>
      <c r="D903" s="35"/>
      <c r="E903" s="35"/>
      <c r="F903" s="35"/>
      <c r="G903" s="35"/>
      <c r="H903" s="35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</row>
    <row r="904" spans="1:26">
      <c r="A904" s="35"/>
      <c r="B904" s="35"/>
      <c r="C904" s="35"/>
      <c r="D904" s="35"/>
      <c r="E904" s="35"/>
      <c r="F904" s="35"/>
      <c r="G904" s="35"/>
      <c r="H904" s="35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</row>
    <row r="905" spans="1:26">
      <c r="A905" s="35"/>
      <c r="B905" s="35"/>
      <c r="C905" s="35"/>
      <c r="D905" s="35"/>
      <c r="E905" s="35"/>
      <c r="F905" s="35"/>
      <c r="G905" s="35"/>
      <c r="H905" s="35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</row>
    <row r="906" spans="1:26">
      <c r="A906" s="35"/>
      <c r="B906" s="35"/>
      <c r="C906" s="35"/>
      <c r="D906" s="35"/>
      <c r="E906" s="35"/>
      <c r="F906" s="35"/>
      <c r="G906" s="35"/>
      <c r="H906" s="35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</row>
    <row r="907" spans="1:26">
      <c r="A907" s="35"/>
      <c r="B907" s="35"/>
      <c r="C907" s="35"/>
      <c r="D907" s="35"/>
      <c r="E907" s="35"/>
      <c r="F907" s="35"/>
      <c r="G907" s="35"/>
      <c r="H907" s="35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</row>
    <row r="908" spans="1:26">
      <c r="A908" s="35"/>
      <c r="B908" s="35"/>
      <c r="C908" s="35"/>
      <c r="D908" s="35"/>
      <c r="E908" s="35"/>
      <c r="F908" s="35"/>
      <c r="G908" s="35"/>
      <c r="H908" s="35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</row>
    <row r="909" spans="1:26">
      <c r="A909" s="35"/>
      <c r="B909" s="35"/>
      <c r="C909" s="35"/>
      <c r="D909" s="35"/>
      <c r="E909" s="35"/>
      <c r="F909" s="35"/>
      <c r="G909" s="35"/>
      <c r="H909" s="35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</row>
    <row r="910" spans="1:26">
      <c r="A910" s="35"/>
      <c r="B910" s="35"/>
      <c r="C910" s="35"/>
      <c r="D910" s="35"/>
      <c r="E910" s="35"/>
      <c r="F910" s="35"/>
      <c r="G910" s="35"/>
      <c r="H910" s="35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</row>
    <row r="911" spans="1:26">
      <c r="A911" s="35"/>
      <c r="B911" s="35"/>
      <c r="C911" s="35"/>
      <c r="D911" s="35"/>
      <c r="E911" s="35"/>
      <c r="F911" s="35"/>
      <c r="G911" s="35"/>
      <c r="H911" s="35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</row>
    <row r="912" spans="1:26">
      <c r="A912" s="35"/>
      <c r="B912" s="35"/>
      <c r="C912" s="35"/>
      <c r="D912" s="35"/>
      <c r="E912" s="35"/>
      <c r="F912" s="35"/>
      <c r="G912" s="35"/>
      <c r="H912" s="35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</row>
    <row r="913" spans="1:26">
      <c r="A913" s="35"/>
      <c r="B913" s="35"/>
      <c r="C913" s="35"/>
      <c r="D913" s="35"/>
      <c r="E913" s="35"/>
      <c r="F913" s="35"/>
      <c r="G913" s="35"/>
      <c r="H913" s="35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</row>
    <row r="914" spans="1:26">
      <c r="A914" s="35"/>
      <c r="B914" s="35"/>
      <c r="C914" s="35"/>
      <c r="D914" s="35"/>
      <c r="E914" s="35"/>
      <c r="F914" s="35"/>
      <c r="G914" s="35"/>
      <c r="H914" s="35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</row>
    <row r="915" spans="1:26">
      <c r="A915" s="35"/>
      <c r="B915" s="35"/>
      <c r="C915" s="35"/>
      <c r="D915" s="35"/>
      <c r="E915" s="35"/>
      <c r="F915" s="35"/>
      <c r="G915" s="35"/>
      <c r="H915" s="35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</row>
    <row r="916" spans="1:26">
      <c r="A916" s="35"/>
      <c r="B916" s="35"/>
      <c r="C916" s="35"/>
      <c r="D916" s="35"/>
      <c r="E916" s="35"/>
      <c r="F916" s="35"/>
      <c r="G916" s="35"/>
      <c r="H916" s="35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</row>
    <row r="917" spans="1:26">
      <c r="A917" s="35"/>
      <c r="B917" s="35"/>
      <c r="C917" s="35"/>
      <c r="D917" s="35"/>
      <c r="E917" s="35"/>
      <c r="F917" s="35"/>
      <c r="G917" s="35"/>
      <c r="H917" s="35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</row>
    <row r="918" spans="1:26">
      <c r="A918" s="35"/>
      <c r="B918" s="35"/>
      <c r="C918" s="35"/>
      <c r="D918" s="35"/>
      <c r="E918" s="35"/>
      <c r="F918" s="35"/>
      <c r="G918" s="35"/>
      <c r="H918" s="35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</row>
    <row r="919" spans="1:26">
      <c r="A919" s="35"/>
      <c r="B919" s="35"/>
      <c r="C919" s="35"/>
      <c r="D919" s="35"/>
      <c r="E919" s="35"/>
      <c r="F919" s="35"/>
      <c r="G919" s="35"/>
      <c r="H919" s="35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</row>
    <row r="920" spans="1:26">
      <c r="A920" s="35"/>
      <c r="B920" s="35"/>
      <c r="C920" s="35"/>
      <c r="D920" s="35"/>
      <c r="E920" s="35"/>
      <c r="F920" s="35"/>
      <c r="G920" s="35"/>
      <c r="H920" s="35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</row>
    <row r="921" spans="1:26">
      <c r="A921" s="35"/>
      <c r="B921" s="35"/>
      <c r="C921" s="35"/>
      <c r="D921" s="35"/>
      <c r="E921" s="35"/>
      <c r="F921" s="35"/>
      <c r="G921" s="35"/>
      <c r="H921" s="35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</row>
    <row r="922" spans="1:26">
      <c r="A922" s="35"/>
      <c r="B922" s="35"/>
      <c r="C922" s="35"/>
      <c r="D922" s="35"/>
      <c r="E922" s="35"/>
      <c r="F922" s="35"/>
      <c r="G922" s="35"/>
      <c r="H922" s="35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</row>
    <row r="923" spans="1:26">
      <c r="A923" s="35"/>
      <c r="B923" s="35"/>
      <c r="C923" s="35"/>
      <c r="D923" s="35"/>
      <c r="E923" s="35"/>
      <c r="F923" s="35"/>
      <c r="G923" s="35"/>
      <c r="H923" s="35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</row>
    <row r="924" spans="1:26">
      <c r="A924" s="35"/>
      <c r="B924" s="35"/>
      <c r="C924" s="35"/>
      <c r="D924" s="35"/>
      <c r="E924" s="35"/>
      <c r="F924" s="35"/>
      <c r="G924" s="35"/>
      <c r="H924" s="35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</row>
    <row r="925" spans="1:26">
      <c r="A925" s="35"/>
      <c r="B925" s="35"/>
      <c r="C925" s="35"/>
      <c r="D925" s="35"/>
      <c r="E925" s="35"/>
      <c r="F925" s="35"/>
      <c r="G925" s="35"/>
      <c r="H925" s="35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</row>
    <row r="926" spans="1:26">
      <c r="A926" s="35"/>
      <c r="B926" s="35"/>
      <c r="C926" s="35"/>
      <c r="D926" s="35"/>
      <c r="E926" s="35"/>
      <c r="F926" s="35"/>
      <c r="G926" s="35"/>
      <c r="H926" s="35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</row>
    <row r="927" spans="1:26">
      <c r="A927" s="35"/>
      <c r="B927" s="35"/>
      <c r="C927" s="35"/>
      <c r="D927" s="35"/>
      <c r="E927" s="35"/>
      <c r="F927" s="35"/>
      <c r="G927" s="35"/>
      <c r="H927" s="35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</row>
    <row r="928" spans="1:26">
      <c r="A928" s="35"/>
      <c r="B928" s="35"/>
      <c r="C928" s="35"/>
      <c r="D928" s="35"/>
      <c r="E928" s="35"/>
      <c r="F928" s="35"/>
      <c r="G928" s="35"/>
      <c r="H928" s="35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</row>
    <row r="929" spans="1:26">
      <c r="A929" s="35"/>
      <c r="B929" s="35"/>
      <c r="C929" s="35"/>
      <c r="D929" s="35"/>
      <c r="E929" s="35"/>
      <c r="F929" s="35"/>
      <c r="G929" s="35"/>
      <c r="H929" s="35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</row>
    <row r="930" spans="1:26">
      <c r="A930" s="35"/>
      <c r="B930" s="35"/>
      <c r="C930" s="35"/>
      <c r="D930" s="35"/>
      <c r="E930" s="35"/>
      <c r="F930" s="35"/>
      <c r="G930" s="35"/>
      <c r="H930" s="35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</row>
    <row r="931" spans="1:26">
      <c r="A931" s="35"/>
      <c r="B931" s="35"/>
      <c r="C931" s="35"/>
      <c r="D931" s="35"/>
      <c r="E931" s="35"/>
      <c r="F931" s="35"/>
      <c r="G931" s="35"/>
      <c r="H931" s="35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</row>
    <row r="932" spans="1:26">
      <c r="A932" s="35"/>
      <c r="B932" s="35"/>
      <c r="C932" s="35"/>
      <c r="D932" s="35"/>
      <c r="E932" s="35"/>
      <c r="F932" s="35"/>
      <c r="G932" s="35"/>
      <c r="H932" s="35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</row>
    <row r="933" spans="1:26">
      <c r="A933" s="35"/>
      <c r="B933" s="35"/>
      <c r="C933" s="35"/>
      <c r="D933" s="35"/>
      <c r="E933" s="35"/>
      <c r="F933" s="35"/>
      <c r="G933" s="35"/>
      <c r="H933" s="35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</row>
    <row r="934" spans="1:26">
      <c r="A934" s="35"/>
      <c r="B934" s="35"/>
      <c r="C934" s="35"/>
      <c r="D934" s="35"/>
      <c r="E934" s="35"/>
      <c r="F934" s="35"/>
      <c r="G934" s="35"/>
      <c r="H934" s="35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</row>
    <row r="935" spans="1:26">
      <c r="A935" s="35"/>
      <c r="B935" s="35"/>
      <c r="C935" s="35"/>
      <c r="D935" s="35"/>
      <c r="E935" s="35"/>
      <c r="F935" s="35"/>
      <c r="G935" s="35"/>
      <c r="H935" s="35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</row>
    <row r="936" spans="1:26">
      <c r="A936" s="35"/>
      <c r="B936" s="35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</row>
    <row r="937" spans="1:26">
      <c r="A937" s="35"/>
      <c r="B937" s="35"/>
      <c r="C937" s="35"/>
      <c r="D937" s="35"/>
      <c r="E937" s="35"/>
      <c r="F937" s="35"/>
      <c r="G937" s="35"/>
      <c r="H937" s="35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</row>
    <row r="938" spans="1:26">
      <c r="A938" s="35"/>
      <c r="B938" s="35"/>
      <c r="C938" s="35"/>
      <c r="D938" s="35"/>
      <c r="E938" s="35"/>
      <c r="F938" s="35"/>
      <c r="G938" s="35"/>
      <c r="H938" s="35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</row>
    <row r="939" spans="1:26">
      <c r="A939" s="35"/>
      <c r="B939" s="35"/>
      <c r="C939" s="35"/>
      <c r="D939" s="35"/>
      <c r="E939" s="35"/>
      <c r="F939" s="35"/>
      <c r="G939" s="35"/>
      <c r="H939" s="35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</row>
    <row r="940" spans="1:26">
      <c r="A940" s="35"/>
      <c r="B940" s="35"/>
      <c r="C940" s="35"/>
      <c r="D940" s="35"/>
      <c r="E940" s="35"/>
      <c r="F940" s="35"/>
      <c r="G940" s="35"/>
      <c r="H940" s="35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</row>
    <row r="941" spans="1:26">
      <c r="A941" s="35"/>
      <c r="B941" s="35"/>
      <c r="C941" s="35"/>
      <c r="D941" s="35"/>
      <c r="E941" s="35"/>
      <c r="F941" s="35"/>
      <c r="G941" s="35"/>
      <c r="H941" s="35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</row>
    <row r="942" spans="1:26">
      <c r="A942" s="35"/>
      <c r="B942" s="35"/>
      <c r="C942" s="35"/>
      <c r="D942" s="35"/>
      <c r="E942" s="35"/>
      <c r="F942" s="35"/>
      <c r="G942" s="35"/>
      <c r="H942" s="35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</row>
    <row r="943" spans="1:26">
      <c r="A943" s="35"/>
      <c r="B943" s="35"/>
      <c r="C943" s="35"/>
      <c r="D943" s="35"/>
      <c r="E943" s="35"/>
      <c r="F943" s="35"/>
      <c r="G943" s="35"/>
      <c r="H943" s="35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</row>
    <row r="944" spans="1:26">
      <c r="A944" s="35"/>
      <c r="B944" s="35"/>
      <c r="C944" s="35"/>
      <c r="D944" s="35"/>
      <c r="E944" s="35"/>
      <c r="F944" s="35"/>
      <c r="G944" s="35"/>
      <c r="H944" s="35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</row>
    <row r="945" spans="1:26">
      <c r="A945" s="35"/>
      <c r="B945" s="35"/>
      <c r="C945" s="35"/>
      <c r="D945" s="35"/>
      <c r="E945" s="35"/>
      <c r="F945" s="35"/>
      <c r="G945" s="35"/>
      <c r="H945" s="35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</row>
    <row r="946" spans="1:26">
      <c r="A946" s="35"/>
      <c r="B946" s="35"/>
      <c r="C946" s="35"/>
      <c r="D946" s="35"/>
      <c r="E946" s="35"/>
      <c r="F946" s="35"/>
      <c r="G946" s="35"/>
      <c r="H946" s="35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</row>
    <row r="947" spans="1:26">
      <c r="A947" s="35"/>
      <c r="B947" s="35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</row>
    <row r="948" spans="1:26">
      <c r="A948" s="35"/>
      <c r="B948" s="35"/>
      <c r="C948" s="35"/>
      <c r="D948" s="35"/>
      <c r="E948" s="35"/>
      <c r="F948" s="35"/>
      <c r="G948" s="35"/>
      <c r="H948" s="35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</row>
    <row r="949" spans="1:26">
      <c r="A949" s="35"/>
      <c r="B949" s="35"/>
      <c r="C949" s="35"/>
      <c r="D949" s="35"/>
      <c r="E949" s="35"/>
      <c r="F949" s="35"/>
      <c r="G949" s="35"/>
      <c r="H949" s="35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</row>
    <row r="950" spans="1:26">
      <c r="A950" s="35"/>
      <c r="B950" s="35"/>
      <c r="C950" s="35"/>
      <c r="D950" s="35"/>
      <c r="E950" s="35"/>
      <c r="F950" s="35"/>
      <c r="G950" s="35"/>
      <c r="H950" s="35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</row>
    <row r="951" spans="1:26">
      <c r="A951" s="35"/>
      <c r="B951" s="35"/>
      <c r="C951" s="35"/>
      <c r="D951" s="35"/>
      <c r="E951" s="35"/>
      <c r="F951" s="35"/>
      <c r="G951" s="35"/>
      <c r="H951" s="35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</row>
    <row r="952" spans="1:26">
      <c r="A952" s="35"/>
      <c r="B952" s="35"/>
      <c r="C952" s="35"/>
      <c r="D952" s="35"/>
      <c r="E952" s="35"/>
      <c r="F952" s="35"/>
      <c r="G952" s="35"/>
      <c r="H952" s="35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</row>
    <row r="953" spans="1:26">
      <c r="A953" s="35"/>
      <c r="B953" s="35"/>
      <c r="C953" s="35"/>
      <c r="D953" s="35"/>
      <c r="E953" s="35"/>
      <c r="F953" s="35"/>
      <c r="G953" s="35"/>
      <c r="H953" s="35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</row>
    <row r="954" spans="1:26">
      <c r="A954" s="35"/>
      <c r="B954" s="35"/>
      <c r="C954" s="35"/>
      <c r="D954" s="35"/>
      <c r="E954" s="35"/>
      <c r="F954" s="35"/>
      <c r="G954" s="35"/>
      <c r="H954" s="35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</row>
    <row r="955" spans="1:26">
      <c r="A955" s="35"/>
      <c r="B955" s="35"/>
      <c r="C955" s="35"/>
      <c r="D955" s="35"/>
      <c r="E955" s="35"/>
      <c r="F955" s="35"/>
      <c r="G955" s="35"/>
      <c r="H955" s="35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</row>
    <row r="956" spans="1:26">
      <c r="A956" s="35"/>
      <c r="B956" s="35"/>
      <c r="C956" s="35"/>
      <c r="D956" s="35"/>
      <c r="E956" s="35"/>
      <c r="F956" s="35"/>
      <c r="G956" s="35"/>
      <c r="H956" s="35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</row>
    <row r="957" spans="1:26">
      <c r="A957" s="35"/>
      <c r="B957" s="35"/>
      <c r="C957" s="35"/>
      <c r="D957" s="35"/>
      <c r="E957" s="35"/>
      <c r="F957" s="35"/>
      <c r="G957" s="35"/>
      <c r="H957" s="35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</row>
    <row r="958" spans="1:26">
      <c r="A958" s="35"/>
      <c r="B958" s="35"/>
      <c r="C958" s="35"/>
      <c r="D958" s="35"/>
      <c r="E958" s="35"/>
      <c r="F958" s="35"/>
      <c r="G958" s="35"/>
      <c r="H958" s="35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</row>
    <row r="959" spans="1:26">
      <c r="A959" s="35"/>
      <c r="B959" s="35"/>
      <c r="C959" s="35"/>
      <c r="D959" s="35"/>
      <c r="E959" s="35"/>
      <c r="F959" s="35"/>
      <c r="G959" s="35"/>
      <c r="H959" s="35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</row>
    <row r="960" spans="1:26">
      <c r="A960" s="35"/>
      <c r="B960" s="35"/>
      <c r="C960" s="35"/>
      <c r="D960" s="35"/>
      <c r="E960" s="35"/>
      <c r="F960" s="35"/>
      <c r="G960" s="35"/>
      <c r="H960" s="35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</row>
    <row r="961" spans="1:26">
      <c r="A961" s="35"/>
      <c r="B961" s="35"/>
      <c r="C961" s="35"/>
      <c r="D961" s="35"/>
      <c r="E961" s="35"/>
      <c r="F961" s="35"/>
      <c r="G961" s="35"/>
      <c r="H961" s="35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</row>
    <row r="962" spans="1:26">
      <c r="A962" s="35"/>
      <c r="B962" s="35"/>
      <c r="C962" s="35"/>
      <c r="D962" s="35"/>
      <c r="E962" s="35"/>
      <c r="F962" s="35"/>
      <c r="G962" s="35"/>
      <c r="H962" s="35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</row>
    <row r="963" spans="1:26">
      <c r="A963" s="35"/>
      <c r="B963" s="35"/>
      <c r="C963" s="35"/>
      <c r="D963" s="35"/>
      <c r="E963" s="35"/>
      <c r="F963" s="35"/>
      <c r="G963" s="35"/>
      <c r="H963" s="35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</row>
    <row r="964" spans="1:26">
      <c r="A964" s="35"/>
      <c r="B964" s="35"/>
      <c r="C964" s="35"/>
      <c r="D964" s="35"/>
      <c r="E964" s="35"/>
      <c r="F964" s="35"/>
      <c r="G964" s="35"/>
      <c r="H964" s="35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</row>
    <row r="965" spans="1:26">
      <c r="A965" s="35"/>
      <c r="B965" s="35"/>
      <c r="C965" s="35"/>
      <c r="D965" s="35"/>
      <c r="E965" s="35"/>
      <c r="F965" s="35"/>
      <c r="G965" s="35"/>
      <c r="H965" s="35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</row>
    <row r="966" spans="1:26">
      <c r="A966" s="35"/>
      <c r="B966" s="35"/>
      <c r="C966" s="35"/>
      <c r="D966" s="35"/>
      <c r="E966" s="35"/>
      <c r="F966" s="35"/>
      <c r="G966" s="35"/>
      <c r="H966" s="35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</row>
    <row r="967" spans="1:26">
      <c r="A967" s="35"/>
      <c r="B967" s="35"/>
      <c r="C967" s="35"/>
      <c r="D967" s="35"/>
      <c r="E967" s="35"/>
      <c r="F967" s="35"/>
      <c r="G967" s="35"/>
      <c r="H967" s="35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</row>
    <row r="968" spans="1:26">
      <c r="A968" s="35"/>
      <c r="B968" s="35"/>
      <c r="C968" s="35"/>
      <c r="D968" s="35"/>
      <c r="E968" s="35"/>
      <c r="F968" s="35"/>
      <c r="G968" s="35"/>
      <c r="H968" s="35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</row>
    <row r="969" spans="1:26">
      <c r="A969" s="35"/>
      <c r="B969" s="35"/>
      <c r="C969" s="35"/>
      <c r="D969" s="35"/>
      <c r="E969" s="35"/>
      <c r="F969" s="35"/>
      <c r="G969" s="35"/>
      <c r="H969" s="35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</row>
    <row r="970" spans="1:26">
      <c r="A970" s="35"/>
      <c r="B970" s="35"/>
      <c r="C970" s="35"/>
      <c r="D970" s="35"/>
      <c r="E970" s="35"/>
      <c r="F970" s="35"/>
      <c r="G970" s="35"/>
      <c r="H970" s="35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</row>
    <row r="971" spans="1:26">
      <c r="A971" s="35"/>
      <c r="B971" s="35"/>
      <c r="C971" s="35"/>
      <c r="D971" s="35"/>
      <c r="E971" s="35"/>
      <c r="F971" s="35"/>
      <c r="G971" s="35"/>
      <c r="H971" s="35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</row>
    <row r="972" spans="1:26">
      <c r="A972" s="35"/>
      <c r="B972" s="35"/>
      <c r="C972" s="35"/>
      <c r="D972" s="35"/>
      <c r="E972" s="35"/>
      <c r="F972" s="35"/>
      <c r="G972" s="35"/>
      <c r="H972" s="35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</row>
    <row r="973" spans="1:26">
      <c r="A973" s="35"/>
      <c r="B973" s="35"/>
      <c r="C973" s="35"/>
      <c r="D973" s="35"/>
      <c r="E973" s="35"/>
      <c r="F973" s="35"/>
      <c r="G973" s="35"/>
      <c r="H973" s="35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</row>
    <row r="974" spans="1:26">
      <c r="A974" s="35"/>
      <c r="B974" s="35"/>
      <c r="C974" s="35"/>
      <c r="D974" s="35"/>
      <c r="E974" s="35"/>
      <c r="F974" s="35"/>
      <c r="G974" s="35"/>
      <c r="H974" s="35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</row>
    <row r="975" spans="1:26">
      <c r="A975" s="35"/>
      <c r="B975" s="35"/>
      <c r="C975" s="35"/>
      <c r="D975" s="35"/>
      <c r="E975" s="35"/>
      <c r="F975" s="35"/>
      <c r="G975" s="35"/>
      <c r="H975" s="35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</row>
    <row r="976" spans="1:26">
      <c r="A976" s="35"/>
      <c r="B976" s="35"/>
      <c r="C976" s="35"/>
      <c r="D976" s="35"/>
      <c r="E976" s="35"/>
      <c r="F976" s="35"/>
      <c r="G976" s="35"/>
      <c r="H976" s="35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</row>
    <row r="977" spans="1:26">
      <c r="A977" s="35"/>
      <c r="B977" s="35"/>
      <c r="C977" s="35"/>
      <c r="D977" s="35"/>
      <c r="E977" s="35"/>
      <c r="F977" s="35"/>
      <c r="G977" s="35"/>
      <c r="H977" s="35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</row>
    <row r="978" spans="1:26">
      <c r="A978" s="35"/>
      <c r="B978" s="35"/>
      <c r="C978" s="35"/>
      <c r="D978" s="35"/>
      <c r="E978" s="35"/>
      <c r="F978" s="35"/>
      <c r="G978" s="35"/>
      <c r="H978" s="35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</row>
    <row r="979" spans="1:26">
      <c r="A979" s="35"/>
      <c r="B979" s="35"/>
      <c r="C979" s="35"/>
      <c r="D979" s="35"/>
      <c r="E979" s="35"/>
      <c r="F979" s="35"/>
      <c r="G979" s="35"/>
      <c r="H979" s="35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</row>
    <row r="980" spans="1:26">
      <c r="A980" s="35"/>
      <c r="B980" s="35"/>
      <c r="C980" s="35"/>
      <c r="D980" s="35"/>
      <c r="E980" s="35"/>
      <c r="F980" s="35"/>
      <c r="G980" s="35"/>
      <c r="H980" s="35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</row>
    <row r="981" spans="1:26">
      <c r="A981" s="35"/>
      <c r="B981" s="35"/>
      <c r="C981" s="35"/>
      <c r="D981" s="35"/>
      <c r="E981" s="35"/>
      <c r="F981" s="35"/>
      <c r="G981" s="35"/>
      <c r="H981" s="35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</row>
    <row r="982" spans="1:26">
      <c r="A982" s="35"/>
      <c r="B982" s="35"/>
      <c r="C982" s="35"/>
      <c r="D982" s="35"/>
      <c r="E982" s="35"/>
      <c r="F982" s="35"/>
      <c r="G982" s="35"/>
      <c r="H982" s="35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</row>
    <row r="983" spans="1:26">
      <c r="A983" s="35"/>
      <c r="B983" s="35"/>
      <c r="C983" s="35"/>
      <c r="D983" s="35"/>
      <c r="E983" s="35"/>
      <c r="F983" s="35"/>
      <c r="G983" s="35"/>
      <c r="H983" s="35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</row>
    <row r="984" spans="1:26">
      <c r="A984" s="35"/>
      <c r="B984" s="35"/>
      <c r="C984" s="35"/>
      <c r="D984" s="35"/>
      <c r="E984" s="35"/>
      <c r="F984" s="35"/>
      <c r="G984" s="35"/>
      <c r="H984" s="35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</row>
    <row r="985" spans="1:26">
      <c r="A985" s="35"/>
      <c r="B985" s="35"/>
      <c r="C985" s="35"/>
      <c r="D985" s="35"/>
      <c r="E985" s="35"/>
      <c r="F985" s="35"/>
      <c r="G985" s="35"/>
      <c r="H985" s="35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</row>
    <row r="986" spans="1:26">
      <c r="A986" s="35"/>
      <c r="B986" s="35"/>
      <c r="C986" s="35"/>
      <c r="D986" s="35"/>
      <c r="E986" s="35"/>
      <c r="F986" s="35"/>
      <c r="G986" s="35"/>
      <c r="H986" s="35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</row>
    <row r="987" spans="1:26">
      <c r="A987" s="35"/>
      <c r="B987" s="35"/>
      <c r="C987" s="35"/>
      <c r="D987" s="35"/>
      <c r="E987" s="35"/>
      <c r="F987" s="35"/>
      <c r="G987" s="35"/>
      <c r="H987" s="35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</row>
    <row r="988" spans="1:26">
      <c r="A988" s="35"/>
      <c r="B988" s="35"/>
      <c r="C988" s="35"/>
      <c r="D988" s="35"/>
      <c r="E988" s="35"/>
      <c r="F988" s="35"/>
      <c r="G988" s="35"/>
      <c r="H988" s="35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</row>
    <row r="989" spans="1:26">
      <c r="A989" s="35"/>
      <c r="B989" s="35"/>
      <c r="C989" s="35"/>
      <c r="D989" s="35"/>
      <c r="E989" s="35"/>
      <c r="F989" s="35"/>
      <c r="G989" s="35"/>
      <c r="H989" s="35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</row>
    <row r="990" spans="1:26">
      <c r="A990" s="35"/>
      <c r="B990" s="35"/>
      <c r="C990" s="35"/>
      <c r="D990" s="35"/>
      <c r="E990" s="35"/>
      <c r="F990" s="35"/>
      <c r="G990" s="35"/>
      <c r="H990" s="35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</row>
    <row r="991" spans="1:26">
      <c r="A991" s="35"/>
      <c r="B991" s="35"/>
      <c r="C991" s="35"/>
      <c r="D991" s="35"/>
      <c r="E991" s="35"/>
      <c r="F991" s="35"/>
      <c r="G991" s="35"/>
      <c r="H991" s="35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</row>
    <row r="992" spans="1:26">
      <c r="A992" s="35"/>
      <c r="B992" s="35"/>
      <c r="C992" s="35"/>
      <c r="D992" s="35"/>
      <c r="E992" s="35"/>
      <c r="F992" s="35"/>
      <c r="G992" s="35"/>
      <c r="H992" s="35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</row>
    <row r="993" spans="1:26">
      <c r="A993" s="35"/>
      <c r="B993" s="35"/>
      <c r="C993" s="35"/>
      <c r="D993" s="35"/>
      <c r="E993" s="35"/>
      <c r="F993" s="35"/>
      <c r="G993" s="35"/>
      <c r="H993" s="35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</row>
    <row r="994" spans="1:26">
      <c r="A994" s="35"/>
      <c r="B994" s="35"/>
      <c r="C994" s="35"/>
      <c r="D994" s="35"/>
      <c r="E994" s="35"/>
      <c r="F994" s="35"/>
      <c r="G994" s="35"/>
      <c r="H994" s="35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</row>
    <row r="995" spans="1:26">
      <c r="A995" s="35"/>
      <c r="B995" s="35"/>
      <c r="C995" s="35"/>
      <c r="D995" s="35"/>
      <c r="E995" s="35"/>
      <c r="F995" s="35"/>
      <c r="G995" s="35"/>
      <c r="H995" s="35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</row>
    <row r="996" spans="1:26">
      <c r="A996" s="35"/>
      <c r="B996" s="35"/>
      <c r="C996" s="35"/>
      <c r="D996" s="35"/>
      <c r="E996" s="35"/>
      <c r="F996" s="35"/>
      <c r="G996" s="35"/>
      <c r="H996" s="35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</row>
    <row r="997" spans="1:26">
      <c r="A997" s="35"/>
      <c r="B997" s="35"/>
      <c r="C997" s="35"/>
      <c r="D997" s="35"/>
      <c r="E997" s="35"/>
      <c r="F997" s="35"/>
      <c r="G997" s="35"/>
      <c r="H997" s="35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</row>
    <row r="998" spans="1:26">
      <c r="A998" s="35"/>
      <c r="B998" s="35"/>
      <c r="C998" s="35"/>
      <c r="D998" s="35"/>
      <c r="E998" s="35"/>
      <c r="F998" s="35"/>
      <c r="G998" s="35"/>
      <c r="H998" s="35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</row>
    <row r="999" spans="1:26">
      <c r="A999" s="35"/>
      <c r="B999" s="35"/>
      <c r="C999" s="35"/>
      <c r="D999" s="35"/>
      <c r="E999" s="35"/>
      <c r="F999" s="35"/>
      <c r="G999" s="35"/>
      <c r="H999" s="35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</row>
    <row r="1000" spans="1:26">
      <c r="A1000" s="35"/>
      <c r="B1000" s="35"/>
      <c r="C1000" s="35"/>
      <c r="D1000" s="35"/>
      <c r="E1000" s="35"/>
      <c r="F1000" s="35"/>
      <c r="G1000" s="35"/>
      <c r="H1000" s="35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</row>
    <row r="1001" spans="1:26">
      <c r="A1001" s="35"/>
      <c r="B1001" s="35"/>
      <c r="C1001" s="35"/>
      <c r="D1001" s="35"/>
      <c r="E1001" s="35"/>
      <c r="F1001" s="35"/>
      <c r="G1001" s="35"/>
      <c r="H1001" s="35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</row>
    <row r="1002" spans="1:26">
      <c r="A1002" s="35"/>
      <c r="B1002" s="35"/>
      <c r="C1002" s="35"/>
      <c r="D1002" s="35"/>
      <c r="E1002" s="35"/>
      <c r="F1002" s="35"/>
      <c r="G1002" s="35"/>
      <c r="H1002" s="35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</row>
    <row r="1003" spans="1:26">
      <c r="A1003" s="35"/>
      <c r="B1003" s="35"/>
      <c r="C1003" s="35"/>
      <c r="D1003" s="35"/>
      <c r="E1003" s="35"/>
      <c r="F1003" s="35"/>
      <c r="G1003" s="35"/>
      <c r="H1003" s="35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</row>
    <row r="1004" spans="1:26">
      <c r="A1004" s="35"/>
      <c r="B1004" s="35"/>
      <c r="C1004" s="35"/>
      <c r="D1004" s="35"/>
      <c r="E1004" s="35"/>
      <c r="F1004" s="35"/>
      <c r="G1004" s="35"/>
      <c r="H1004" s="35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</row>
    <row r="1005" spans="1:26">
      <c r="A1005" s="35"/>
      <c r="B1005" s="35"/>
      <c r="C1005" s="35"/>
      <c r="D1005" s="35"/>
      <c r="E1005" s="35"/>
      <c r="F1005" s="35"/>
      <c r="G1005" s="35"/>
      <c r="H1005" s="35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</row>
    <row r="1006" spans="1:26">
      <c r="A1006" s="35"/>
      <c r="B1006" s="35"/>
      <c r="C1006" s="35"/>
      <c r="D1006" s="35"/>
      <c r="E1006" s="35"/>
      <c r="F1006" s="35"/>
      <c r="G1006" s="35"/>
      <c r="H1006" s="35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</row>
    <row r="1007" spans="1:26">
      <c r="A1007" s="35"/>
      <c r="B1007" s="35"/>
      <c r="C1007" s="35"/>
      <c r="D1007" s="35"/>
      <c r="E1007" s="35"/>
      <c r="F1007" s="35"/>
      <c r="G1007" s="35"/>
      <c r="H1007" s="35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</row>
    <row r="1008" spans="1:26">
      <c r="A1008" s="35"/>
      <c r="B1008" s="35"/>
      <c r="C1008" s="35"/>
      <c r="D1008" s="35"/>
      <c r="E1008" s="35"/>
      <c r="F1008" s="35"/>
      <c r="G1008" s="35"/>
      <c r="H1008" s="35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</row>
    <row r="1009" spans="1:26">
      <c r="A1009" s="35"/>
      <c r="B1009" s="35"/>
      <c r="C1009" s="35"/>
      <c r="D1009" s="35"/>
      <c r="E1009" s="35"/>
      <c r="F1009" s="35"/>
      <c r="G1009" s="35"/>
      <c r="H1009" s="35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</row>
    <row r="1010" spans="1:26">
      <c r="A1010" s="35"/>
      <c r="B1010" s="35"/>
      <c r="C1010" s="35"/>
      <c r="D1010" s="35"/>
      <c r="E1010" s="35"/>
      <c r="F1010" s="35"/>
      <c r="G1010" s="35"/>
      <c r="H1010" s="35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</row>
    <row r="1011" spans="1:26">
      <c r="A1011" s="35"/>
      <c r="B1011" s="35"/>
      <c r="C1011" s="35"/>
      <c r="D1011" s="35"/>
      <c r="E1011" s="35"/>
      <c r="F1011" s="35"/>
      <c r="G1011" s="35"/>
      <c r="H1011" s="35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</row>
  </sheetData>
  <conditionalFormatting sqref="W7:Y26">
    <cfRule type="cellIs" dxfId="5" priority="1" operator="greaterThan">
      <formula>0</formula>
    </cfRule>
  </conditionalFormatting>
  <conditionalFormatting sqref="D7:D26 J7:J26">
    <cfRule type="cellIs" dxfId="4" priority="2" operator="greaterThan">
      <formula>0</formula>
    </cfRule>
  </conditionalFormatting>
  <conditionalFormatting sqref="D7:D26 J7:J26">
    <cfRule type="cellIs" dxfId="3" priority="3" operator="lessThan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outlinePr summaryBelow="0" summaryRight="0"/>
  </sheetPr>
  <dimension ref="A1:Y70"/>
  <sheetViews>
    <sheetView workbookViewId="0"/>
  </sheetViews>
  <sheetFormatPr defaultColWidth="14.42578125" defaultRowHeight="15.75" customHeight="1"/>
  <cols>
    <col min="2" max="2" width="23.7109375" customWidth="1"/>
  </cols>
  <sheetData>
    <row r="1" spans="1:24" ht="15.75" customHeight="1">
      <c r="A1" s="70" t="s">
        <v>73</v>
      </c>
      <c r="B1" s="70" t="s">
        <v>0</v>
      </c>
      <c r="C1" s="70" t="s">
        <v>74</v>
      </c>
      <c r="D1" s="70" t="s">
        <v>61</v>
      </c>
      <c r="E1" s="70" t="s">
        <v>75</v>
      </c>
      <c r="F1" s="128" t="s">
        <v>0</v>
      </c>
      <c r="G1" s="126"/>
      <c r="H1" s="128" t="s">
        <v>76</v>
      </c>
      <c r="I1" s="126"/>
    </row>
    <row r="2" spans="1:24" ht="15.75" customHeight="1">
      <c r="A2" s="71">
        <v>44212</v>
      </c>
      <c r="B2" s="70" t="s">
        <v>77</v>
      </c>
      <c r="C2" s="70" t="s">
        <v>78</v>
      </c>
      <c r="D2" s="72">
        <v>-6.7400000000000002E-2</v>
      </c>
      <c r="E2" s="72">
        <v>-4.9799999999999997E-2</v>
      </c>
      <c r="F2" s="73">
        <v>100</v>
      </c>
      <c r="G2" s="73">
        <f t="shared" ref="G2:G70" si="0">F2*(1+D2)</f>
        <v>93.26</v>
      </c>
      <c r="H2" s="73">
        <v>100</v>
      </c>
      <c r="I2" s="73">
        <f t="shared" ref="I2:I70" si="1">H2*(1+E2)</f>
        <v>95.02000000000001</v>
      </c>
    </row>
    <row r="3" spans="1:24" ht="15.75" customHeight="1">
      <c r="A3" s="71">
        <v>44243</v>
      </c>
      <c r="B3" s="70" t="s">
        <v>79</v>
      </c>
      <c r="C3" s="70" t="s">
        <v>78</v>
      </c>
      <c r="D3" s="72">
        <v>-2.5999999999999999E-3</v>
      </c>
      <c r="E3" s="72">
        <v>-8.0000000000000004E-4</v>
      </c>
      <c r="F3" s="73">
        <f t="shared" ref="F3:F70" si="2">G2</f>
        <v>93.26</v>
      </c>
      <c r="G3" s="73">
        <f t="shared" si="0"/>
        <v>93.017523999999995</v>
      </c>
      <c r="H3" s="73">
        <f t="shared" ref="H3:H70" si="3">I2</f>
        <v>95.02000000000001</v>
      </c>
      <c r="I3" s="73">
        <f t="shared" si="1"/>
        <v>94.943984000000015</v>
      </c>
    </row>
    <row r="4" spans="1:24" ht="15.75" customHeight="1">
      <c r="A4" s="71">
        <v>44271</v>
      </c>
      <c r="B4" s="70" t="s">
        <v>80</v>
      </c>
      <c r="C4" s="70" t="s">
        <v>78</v>
      </c>
      <c r="D4" s="72">
        <v>3.8399999999999997E-2</v>
      </c>
      <c r="E4" s="72">
        <v>6.7199999999999996E-2</v>
      </c>
      <c r="F4" s="73">
        <f t="shared" si="2"/>
        <v>93.017523999999995</v>
      </c>
      <c r="G4" s="73">
        <f t="shared" si="0"/>
        <v>96.589396921599999</v>
      </c>
      <c r="H4" s="73">
        <f t="shared" si="3"/>
        <v>94.943984000000015</v>
      </c>
      <c r="I4" s="73">
        <f t="shared" si="1"/>
        <v>101.3242197248</v>
      </c>
    </row>
    <row r="5" spans="1:24" ht="15.75" customHeight="1">
      <c r="A5" s="71">
        <v>44302</v>
      </c>
      <c r="B5" s="70" t="s">
        <v>81</v>
      </c>
      <c r="C5" s="70" t="s">
        <v>78</v>
      </c>
      <c r="D5" s="72">
        <v>-4.3900000000000002E-2</v>
      </c>
      <c r="E5" s="72">
        <v>3.8999999999999998E-3</v>
      </c>
      <c r="F5" s="73">
        <f t="shared" si="2"/>
        <v>96.589396921599999</v>
      </c>
      <c r="G5" s="73">
        <f t="shared" si="0"/>
        <v>92.349122396741748</v>
      </c>
      <c r="H5" s="73">
        <f t="shared" si="3"/>
        <v>101.3242197248</v>
      </c>
      <c r="I5" s="73">
        <f t="shared" si="1"/>
        <v>101.71938418172672</v>
      </c>
    </row>
    <row r="6" spans="1:24" ht="15.75" customHeight="1">
      <c r="A6" s="74">
        <v>44332</v>
      </c>
      <c r="B6" s="70" t="s">
        <v>82</v>
      </c>
      <c r="C6" s="70" t="s">
        <v>78</v>
      </c>
      <c r="D6" s="72">
        <v>4.1500000000000002E-2</v>
      </c>
      <c r="E6" s="72">
        <v>1.7000000000000001E-2</v>
      </c>
      <c r="F6" s="73">
        <f t="shared" si="2"/>
        <v>92.349122396741748</v>
      </c>
      <c r="G6" s="73">
        <f t="shared" si="0"/>
        <v>96.181610976206542</v>
      </c>
      <c r="H6" s="73">
        <f t="shared" si="3"/>
        <v>101.71938418172672</v>
      </c>
      <c r="I6" s="73">
        <f t="shared" si="1"/>
        <v>103.44861371281607</v>
      </c>
    </row>
    <row r="7" spans="1:24" ht="15.75" customHeight="1">
      <c r="A7" s="71">
        <v>44363</v>
      </c>
      <c r="B7" s="70" t="s">
        <v>83</v>
      </c>
      <c r="C7" s="70" t="s">
        <v>78</v>
      </c>
      <c r="D7" s="72">
        <v>-1.35E-2</v>
      </c>
      <c r="E7" s="72">
        <v>3.5000000000000001E-3</v>
      </c>
      <c r="F7" s="73">
        <f t="shared" si="2"/>
        <v>96.181610976206542</v>
      </c>
      <c r="G7" s="73">
        <f t="shared" si="0"/>
        <v>94.883159228027765</v>
      </c>
      <c r="H7" s="73">
        <f t="shared" si="3"/>
        <v>103.44861371281607</v>
      </c>
      <c r="I7" s="73">
        <f t="shared" si="1"/>
        <v>103.81068386081093</v>
      </c>
    </row>
    <row r="8" spans="1:24" ht="15.75" customHeight="1">
      <c r="A8" s="71">
        <v>44393</v>
      </c>
      <c r="B8" s="70" t="s">
        <v>84</v>
      </c>
      <c r="C8" s="70" t="s">
        <v>78</v>
      </c>
      <c r="D8" s="72">
        <v>2.7099999999999999E-2</v>
      </c>
      <c r="E8" s="72">
        <v>3.6499999999999998E-2</v>
      </c>
      <c r="F8" s="73">
        <f t="shared" si="2"/>
        <v>94.883159228027765</v>
      </c>
      <c r="G8" s="73">
        <f t="shared" si="0"/>
        <v>97.454492843107303</v>
      </c>
      <c r="H8" s="73">
        <f t="shared" si="3"/>
        <v>103.81068386081093</v>
      </c>
      <c r="I8" s="73">
        <f t="shared" si="1"/>
        <v>107.59977382173052</v>
      </c>
      <c r="T8" s="75"/>
      <c r="U8" s="75"/>
      <c r="W8" s="75"/>
      <c r="X8" s="75"/>
    </row>
    <row r="9" spans="1:24" ht="15.75" customHeight="1">
      <c r="A9" s="71">
        <v>44424</v>
      </c>
      <c r="B9" s="70" t="s">
        <v>85</v>
      </c>
      <c r="C9" s="70" t="s">
        <v>78</v>
      </c>
      <c r="D9" s="72">
        <v>1.6899999999999998E-2</v>
      </c>
      <c r="E9" s="72">
        <v>1.1999999999999999E-3</v>
      </c>
      <c r="F9" s="73">
        <f t="shared" si="2"/>
        <v>97.454492843107303</v>
      </c>
      <c r="G9" s="73">
        <f t="shared" si="0"/>
        <v>99.101473772155813</v>
      </c>
      <c r="H9" s="73">
        <f t="shared" si="3"/>
        <v>107.59977382173052</v>
      </c>
      <c r="I9" s="73">
        <f t="shared" si="1"/>
        <v>107.72889355031661</v>
      </c>
      <c r="T9" s="75"/>
      <c r="U9" s="75"/>
      <c r="W9" s="75"/>
      <c r="X9" s="75"/>
    </row>
    <row r="10" spans="1:24" ht="15.75" customHeight="1">
      <c r="A10" s="71">
        <v>44455</v>
      </c>
      <c r="B10" s="70" t="s">
        <v>86</v>
      </c>
      <c r="C10" s="70" t="s">
        <v>78</v>
      </c>
      <c r="D10" s="72">
        <v>6.6E-3</v>
      </c>
      <c r="E10" s="72">
        <v>1E-4</v>
      </c>
      <c r="F10" s="73">
        <f t="shared" si="2"/>
        <v>99.101473772155813</v>
      </c>
      <c r="G10" s="73">
        <f t="shared" si="0"/>
        <v>99.755543499052038</v>
      </c>
      <c r="H10" s="73">
        <f t="shared" si="3"/>
        <v>107.72889355031661</v>
      </c>
      <c r="I10" s="73">
        <f t="shared" si="1"/>
        <v>107.73966643967164</v>
      </c>
      <c r="T10" s="75"/>
      <c r="U10" s="75"/>
      <c r="W10" s="75"/>
      <c r="X10" s="75"/>
    </row>
    <row r="11" spans="1:24" ht="15.75" customHeight="1">
      <c r="A11" s="71">
        <v>44485</v>
      </c>
      <c r="B11" s="70" t="s">
        <v>87</v>
      </c>
      <c r="C11" s="70" t="s">
        <v>78</v>
      </c>
      <c r="D11" s="72">
        <v>-1.8100000000000002E-2</v>
      </c>
      <c r="E11" s="72">
        <v>-1.7299999999999999E-2</v>
      </c>
      <c r="F11" s="73">
        <f t="shared" si="2"/>
        <v>99.755543499052038</v>
      </c>
      <c r="G11" s="73">
        <f t="shared" si="0"/>
        <v>97.949968161719198</v>
      </c>
      <c r="H11" s="73">
        <f t="shared" si="3"/>
        <v>107.73966643967164</v>
      </c>
      <c r="I11" s="73">
        <f t="shared" si="1"/>
        <v>105.87577021026532</v>
      </c>
      <c r="T11" s="75"/>
      <c r="U11" s="75"/>
      <c r="W11" s="75"/>
      <c r="X11" s="75"/>
    </row>
    <row r="12" spans="1:24" ht="15.75" customHeight="1">
      <c r="A12" s="71">
        <v>44516</v>
      </c>
      <c r="B12" s="70" t="s">
        <v>88</v>
      </c>
      <c r="C12" s="70" t="s">
        <v>78</v>
      </c>
      <c r="D12" s="72">
        <v>3.3599999999999998E-2</v>
      </c>
      <c r="E12" s="72">
        <v>3.6799999999999999E-2</v>
      </c>
      <c r="F12" s="73">
        <f t="shared" si="2"/>
        <v>97.949968161719198</v>
      </c>
      <c r="G12" s="73">
        <f t="shared" si="0"/>
        <v>101.24108709195298</v>
      </c>
      <c r="H12" s="73">
        <f t="shared" si="3"/>
        <v>105.87577021026532</v>
      </c>
      <c r="I12" s="73">
        <f t="shared" si="1"/>
        <v>109.77199855400308</v>
      </c>
      <c r="T12" s="75"/>
      <c r="U12" s="75"/>
      <c r="W12" s="75"/>
      <c r="X12" s="75"/>
    </row>
    <row r="13" spans="1:24" ht="15.75" customHeight="1">
      <c r="A13" s="71">
        <v>44546</v>
      </c>
      <c r="B13" s="70" t="s">
        <v>89</v>
      </c>
      <c r="C13" s="70" t="s">
        <v>78</v>
      </c>
      <c r="D13" s="72">
        <v>2.35E-2</v>
      </c>
      <c r="E13" s="72">
        <v>2.0299999999999999E-2</v>
      </c>
      <c r="F13" s="73">
        <f t="shared" si="2"/>
        <v>101.24108709195298</v>
      </c>
      <c r="G13" s="73">
        <f t="shared" si="0"/>
        <v>103.62025263861388</v>
      </c>
      <c r="H13" s="73">
        <f t="shared" si="3"/>
        <v>109.77199855400308</v>
      </c>
      <c r="I13" s="73">
        <f t="shared" si="1"/>
        <v>112.00037012464934</v>
      </c>
      <c r="T13" s="75"/>
      <c r="U13" s="75"/>
      <c r="W13" s="75"/>
      <c r="X13" s="75"/>
    </row>
    <row r="14" spans="1:24" ht="15.75" customHeight="1">
      <c r="A14" s="71">
        <v>44213</v>
      </c>
      <c r="B14" s="70" t="s">
        <v>90</v>
      </c>
      <c r="C14" s="70" t="s">
        <v>78</v>
      </c>
      <c r="D14" s="72">
        <v>2.3099999999999999E-2</v>
      </c>
      <c r="E14" s="72">
        <v>1.7899999999999999E-2</v>
      </c>
      <c r="F14" s="73">
        <f t="shared" si="2"/>
        <v>103.62025263861388</v>
      </c>
      <c r="G14" s="73">
        <f t="shared" si="0"/>
        <v>106.01388047456585</v>
      </c>
      <c r="H14" s="73">
        <f t="shared" si="3"/>
        <v>112.00037012464934</v>
      </c>
      <c r="I14" s="73">
        <f t="shared" si="1"/>
        <v>114.00517674988056</v>
      </c>
      <c r="T14" s="75"/>
      <c r="U14" s="75"/>
      <c r="W14" s="75"/>
      <c r="X14" s="75"/>
    </row>
    <row r="15" spans="1:24" ht="15.75" customHeight="1">
      <c r="A15" s="71">
        <v>44244</v>
      </c>
      <c r="B15" s="70" t="s">
        <v>91</v>
      </c>
      <c r="C15" s="70" t="s">
        <v>78</v>
      </c>
      <c r="D15" s="72">
        <v>6.1100000000000002E-2</v>
      </c>
      <c r="E15" s="72">
        <v>3.9300000000000002E-2</v>
      </c>
      <c r="F15" s="73">
        <f t="shared" si="2"/>
        <v>106.01388047456585</v>
      </c>
      <c r="G15" s="73">
        <f t="shared" si="0"/>
        <v>112.49132857156182</v>
      </c>
      <c r="H15" s="73">
        <f t="shared" si="3"/>
        <v>114.00517674988056</v>
      </c>
      <c r="I15" s="73">
        <f t="shared" si="1"/>
        <v>118.48558019615085</v>
      </c>
      <c r="T15" s="75"/>
      <c r="U15" s="75"/>
      <c r="W15" s="75"/>
      <c r="X15" s="75"/>
    </row>
    <row r="16" spans="1:24" ht="15.75" customHeight="1">
      <c r="A16" s="71">
        <v>44272</v>
      </c>
      <c r="B16" s="70" t="s">
        <v>92</v>
      </c>
      <c r="C16" s="70" t="s">
        <v>78</v>
      </c>
      <c r="D16" s="72">
        <v>2.2499999999999999E-2</v>
      </c>
      <c r="E16" s="72">
        <v>1.2999999999999999E-3</v>
      </c>
      <c r="F16" s="73">
        <f t="shared" si="2"/>
        <v>112.49132857156182</v>
      </c>
      <c r="G16" s="73">
        <f t="shared" si="0"/>
        <v>115.02238346442196</v>
      </c>
      <c r="H16" s="73">
        <f t="shared" si="3"/>
        <v>118.48558019615085</v>
      </c>
      <c r="I16" s="73">
        <f t="shared" si="1"/>
        <v>118.63961145040585</v>
      </c>
      <c r="T16" s="75"/>
      <c r="U16" s="75"/>
      <c r="W16" s="75"/>
      <c r="X16" s="75"/>
    </row>
    <row r="17" spans="1:24" ht="15.75" customHeight="1">
      <c r="A17" s="71">
        <v>44303</v>
      </c>
      <c r="B17" s="70" t="s">
        <v>93</v>
      </c>
      <c r="C17" s="70" t="s">
        <v>78</v>
      </c>
      <c r="D17" s="72">
        <v>3.1699999999999999E-2</v>
      </c>
      <c r="E17" s="72">
        <v>9.9000000000000008E-3</v>
      </c>
      <c r="F17" s="73">
        <f t="shared" si="2"/>
        <v>115.02238346442196</v>
      </c>
      <c r="G17" s="73">
        <f t="shared" si="0"/>
        <v>118.66859302024415</v>
      </c>
      <c r="H17" s="73">
        <f t="shared" si="3"/>
        <v>118.63961145040585</v>
      </c>
      <c r="I17" s="73">
        <f t="shared" si="1"/>
        <v>119.81414360376488</v>
      </c>
      <c r="T17" s="75"/>
      <c r="U17" s="75"/>
      <c r="W17" s="75"/>
      <c r="X17" s="75"/>
    </row>
    <row r="18" spans="1:24" ht="15.75" customHeight="1">
      <c r="A18" s="74">
        <v>44333</v>
      </c>
      <c r="B18" s="70" t="s">
        <v>94</v>
      </c>
      <c r="C18" s="70" t="s">
        <v>78</v>
      </c>
      <c r="D18" s="72">
        <v>3.8600000000000002E-2</v>
      </c>
      <c r="E18" s="72">
        <v>1.41E-2</v>
      </c>
      <c r="F18" s="73">
        <f t="shared" si="2"/>
        <v>118.66859302024415</v>
      </c>
      <c r="G18" s="73">
        <f t="shared" si="0"/>
        <v>123.24920071082556</v>
      </c>
      <c r="H18" s="73">
        <f t="shared" si="3"/>
        <v>119.81414360376488</v>
      </c>
      <c r="I18" s="73">
        <f t="shared" si="1"/>
        <v>121.50352302857796</v>
      </c>
      <c r="T18" s="75"/>
      <c r="U18" s="75"/>
      <c r="W18" s="75"/>
      <c r="X18" s="75"/>
    </row>
    <row r="19" spans="1:24" ht="15.75" customHeight="1">
      <c r="A19" s="71">
        <v>44364</v>
      </c>
      <c r="B19" s="70" t="s">
        <v>95</v>
      </c>
      <c r="C19" s="70" t="s">
        <v>78</v>
      </c>
      <c r="D19" s="72">
        <v>-2.3E-3</v>
      </c>
      <c r="E19" s="72">
        <v>6.4000000000000003E-3</v>
      </c>
      <c r="F19" s="73">
        <f t="shared" si="2"/>
        <v>123.24920071082556</v>
      </c>
      <c r="G19" s="73">
        <f t="shared" si="0"/>
        <v>122.96572754919066</v>
      </c>
      <c r="H19" s="73">
        <f t="shared" si="3"/>
        <v>121.50352302857796</v>
      </c>
      <c r="I19" s="73">
        <f t="shared" si="1"/>
        <v>122.28114557596085</v>
      </c>
      <c r="T19" s="75"/>
      <c r="U19" s="75"/>
      <c r="W19" s="75"/>
      <c r="X19" s="75"/>
    </row>
    <row r="20" spans="1:24" ht="15.75" customHeight="1">
      <c r="A20" s="71">
        <v>44394</v>
      </c>
      <c r="B20" s="70" t="s">
        <v>96</v>
      </c>
      <c r="C20" s="70" t="s">
        <v>78</v>
      </c>
      <c r="D20" s="72">
        <v>1.7600000000000001E-2</v>
      </c>
      <c r="E20" s="72">
        <v>2.06E-2</v>
      </c>
      <c r="F20" s="73">
        <f t="shared" si="2"/>
        <v>122.96572754919066</v>
      </c>
      <c r="G20" s="73">
        <f t="shared" si="0"/>
        <v>125.12992435405643</v>
      </c>
      <c r="H20" s="73">
        <f t="shared" si="3"/>
        <v>122.28114557596085</v>
      </c>
      <c r="I20" s="73">
        <f t="shared" si="1"/>
        <v>124.80013717482564</v>
      </c>
      <c r="T20" s="75"/>
      <c r="U20" s="75"/>
      <c r="W20" s="75"/>
      <c r="X20" s="75"/>
    </row>
    <row r="21" spans="1:24" ht="15.75" customHeight="1">
      <c r="A21" s="71">
        <v>44425</v>
      </c>
      <c r="B21" s="70" t="s">
        <v>97</v>
      </c>
      <c r="C21" s="70" t="s">
        <v>78</v>
      </c>
      <c r="D21" s="72">
        <v>7.4000000000000003E-3</v>
      </c>
      <c r="E21" s="72">
        <v>2.8999999999999998E-3</v>
      </c>
      <c r="F21" s="73">
        <f t="shared" si="2"/>
        <v>125.12992435405643</v>
      </c>
      <c r="G21" s="73">
        <f t="shared" si="0"/>
        <v>126.05588579427645</v>
      </c>
      <c r="H21" s="73">
        <f t="shared" si="3"/>
        <v>124.80013717482564</v>
      </c>
      <c r="I21" s="73">
        <f t="shared" si="1"/>
        <v>125.16205757263262</v>
      </c>
      <c r="T21" s="75"/>
      <c r="U21" s="75"/>
      <c r="W21" s="75"/>
      <c r="X21" s="75"/>
    </row>
    <row r="22" spans="1:24" ht="15.75" customHeight="1">
      <c r="A22" s="71">
        <v>44456</v>
      </c>
      <c r="B22" s="70" t="s">
        <v>98</v>
      </c>
      <c r="C22" s="70" t="s">
        <v>78</v>
      </c>
      <c r="D22" s="72">
        <v>-1.47E-2</v>
      </c>
      <c r="E22" s="72">
        <v>2.01E-2</v>
      </c>
      <c r="F22" s="73">
        <f t="shared" si="2"/>
        <v>126.05588579427645</v>
      </c>
      <c r="G22" s="73">
        <f t="shared" si="0"/>
        <v>124.20286427310057</v>
      </c>
      <c r="H22" s="73">
        <f t="shared" si="3"/>
        <v>125.16205757263262</v>
      </c>
      <c r="I22" s="73">
        <f t="shared" si="1"/>
        <v>127.67781492984254</v>
      </c>
      <c r="L22" s="13" t="s">
        <v>35</v>
      </c>
      <c r="M22" s="13" t="s">
        <v>36</v>
      </c>
      <c r="N22" s="13" t="s">
        <v>37</v>
      </c>
      <c r="O22" s="13" t="s">
        <v>38</v>
      </c>
      <c r="T22" s="75"/>
      <c r="U22" s="75"/>
      <c r="W22" s="75"/>
      <c r="X22" s="75"/>
    </row>
    <row r="23" spans="1:24" ht="15.75" customHeight="1">
      <c r="A23" s="71">
        <v>44486</v>
      </c>
      <c r="B23" s="70" t="s">
        <v>99</v>
      </c>
      <c r="C23" s="70" t="s">
        <v>78</v>
      </c>
      <c r="D23" s="72">
        <v>4.2599999999999999E-2</v>
      </c>
      <c r="E23" s="72">
        <v>2.3599999999999999E-2</v>
      </c>
      <c r="F23" s="73">
        <f t="shared" si="2"/>
        <v>124.20286427310057</v>
      </c>
      <c r="G23" s="73">
        <f t="shared" si="0"/>
        <v>129.49390629113466</v>
      </c>
      <c r="H23" s="73">
        <f t="shared" si="3"/>
        <v>127.67781492984254</v>
      </c>
      <c r="I23" s="73">
        <f t="shared" si="1"/>
        <v>130.69101136218683</v>
      </c>
      <c r="K23" s="13" t="s">
        <v>2</v>
      </c>
      <c r="L23" s="19">
        <f>(G70-F62)/F62</f>
        <v>0.21419292459133724</v>
      </c>
      <c r="M23" s="19">
        <f>(G70-F58)/F58</f>
        <v>0.33328079601582156</v>
      </c>
      <c r="N23" s="19">
        <f>(G70-F34)/F34</f>
        <v>1.3236841992242365</v>
      </c>
      <c r="O23" s="19">
        <f>(G70-F10)/F10</f>
        <v>2.8495425187854848</v>
      </c>
      <c r="T23" s="75"/>
      <c r="U23" s="75"/>
      <c r="W23" s="75"/>
      <c r="X23" s="75"/>
    </row>
    <row r="24" spans="1:24" ht="15.75" customHeight="1">
      <c r="A24" s="71">
        <v>44517</v>
      </c>
      <c r="B24" s="70" t="s">
        <v>100</v>
      </c>
      <c r="C24" s="70" t="s">
        <v>78</v>
      </c>
      <c r="D24" s="72">
        <v>3.0099999999999998E-2</v>
      </c>
      <c r="E24" s="72">
        <v>3.0599999999999999E-2</v>
      </c>
      <c r="F24" s="73">
        <f t="shared" si="2"/>
        <v>129.49390629113466</v>
      </c>
      <c r="G24" s="73">
        <f t="shared" si="0"/>
        <v>133.39167287049781</v>
      </c>
      <c r="H24" s="73">
        <f t="shared" si="3"/>
        <v>130.69101136218683</v>
      </c>
      <c r="I24" s="73">
        <f t="shared" si="1"/>
        <v>134.69015630986974</v>
      </c>
      <c r="K24" s="13" t="s">
        <v>14</v>
      </c>
      <c r="L24" s="19">
        <f>(I70-H62)/H62</f>
        <v>0.159160388866768</v>
      </c>
      <c r="M24" s="19">
        <f>(I70-H58)/H58</f>
        <v>0.25115869150003872</v>
      </c>
      <c r="N24" s="19">
        <f>(I70-H34)/H34</f>
        <v>0.56656026359576006</v>
      </c>
      <c r="O24" s="19">
        <f>(I70-H10)/H10</f>
        <v>1.1749100022986758</v>
      </c>
      <c r="T24" s="75"/>
      <c r="U24" s="75"/>
      <c r="W24" s="75"/>
      <c r="X24" s="75"/>
    </row>
    <row r="25" spans="1:24" ht="15.75" customHeight="1">
      <c r="A25" s="71">
        <v>44547</v>
      </c>
      <c r="B25" s="70" t="s">
        <v>101</v>
      </c>
      <c r="C25" s="70" t="s">
        <v>78</v>
      </c>
      <c r="D25" s="72">
        <v>5.1000000000000004E-3</v>
      </c>
      <c r="E25" s="72">
        <v>1.21E-2</v>
      </c>
      <c r="F25" s="73">
        <f t="shared" si="2"/>
        <v>133.39167287049781</v>
      </c>
      <c r="G25" s="73">
        <f t="shared" si="0"/>
        <v>134.07197040213737</v>
      </c>
      <c r="H25" s="73">
        <f t="shared" si="3"/>
        <v>134.69015630986974</v>
      </c>
      <c r="I25" s="73">
        <f t="shared" si="1"/>
        <v>136.31990720121917</v>
      </c>
      <c r="T25" s="75"/>
      <c r="U25" s="75"/>
      <c r="W25" s="75"/>
      <c r="X25" s="75"/>
    </row>
    <row r="26" spans="1:24" ht="15.75" customHeight="1">
      <c r="A26" s="71">
        <v>44214</v>
      </c>
      <c r="B26" s="70" t="s">
        <v>102</v>
      </c>
      <c r="C26" s="70" t="s">
        <v>78</v>
      </c>
      <c r="D26" s="72">
        <v>9.1200000000000003E-2</v>
      </c>
      <c r="E26" s="72">
        <v>5.6399999999999999E-2</v>
      </c>
      <c r="F26" s="73">
        <f t="shared" si="2"/>
        <v>134.07197040213737</v>
      </c>
      <c r="G26" s="73">
        <f t="shared" si="0"/>
        <v>146.29933410281228</v>
      </c>
      <c r="H26" s="73">
        <f t="shared" si="3"/>
        <v>136.31990720121917</v>
      </c>
      <c r="I26" s="73">
        <f t="shared" si="1"/>
        <v>144.00834996736793</v>
      </c>
      <c r="T26" s="75"/>
      <c r="U26" s="75"/>
      <c r="W26" s="75"/>
      <c r="X26" s="75"/>
    </row>
    <row r="27" spans="1:24" ht="15.75" customHeight="1">
      <c r="A27" s="71">
        <v>44245</v>
      </c>
      <c r="B27" s="70" t="s">
        <v>103</v>
      </c>
      <c r="C27" s="70" t="s">
        <v>78</v>
      </c>
      <c r="D27" s="72">
        <v>-5.7000000000000002E-3</v>
      </c>
      <c r="E27" s="72">
        <v>-3.6400000000000002E-2</v>
      </c>
      <c r="F27" s="73">
        <f t="shared" si="2"/>
        <v>146.29933410281228</v>
      </c>
      <c r="G27" s="73">
        <f t="shared" si="0"/>
        <v>145.46542789842624</v>
      </c>
      <c r="H27" s="73">
        <f t="shared" si="3"/>
        <v>144.00834996736793</v>
      </c>
      <c r="I27" s="73">
        <f t="shared" si="1"/>
        <v>138.76644602855575</v>
      </c>
      <c r="T27" s="75"/>
      <c r="U27" s="75"/>
      <c r="W27" s="75"/>
      <c r="X27" s="75"/>
    </row>
    <row r="28" spans="1:24" ht="15.75" customHeight="1">
      <c r="A28" s="71">
        <v>44273</v>
      </c>
      <c r="B28" s="70" t="s">
        <v>104</v>
      </c>
      <c r="C28" s="70" t="s">
        <v>78</v>
      </c>
      <c r="D28" s="72">
        <v>-3.1800000000000002E-2</v>
      </c>
      <c r="E28" s="72">
        <v>-2.7400000000000001E-2</v>
      </c>
      <c r="F28" s="73">
        <f t="shared" si="2"/>
        <v>145.46542789842624</v>
      </c>
      <c r="G28" s="73">
        <f t="shared" si="0"/>
        <v>140.83962729125628</v>
      </c>
      <c r="H28" s="73">
        <f t="shared" si="3"/>
        <v>138.76644602855575</v>
      </c>
      <c r="I28" s="73">
        <f t="shared" si="1"/>
        <v>134.96424540737331</v>
      </c>
      <c r="T28" s="75"/>
      <c r="U28" s="75"/>
      <c r="W28" s="75"/>
      <c r="X28" s="75"/>
    </row>
    <row r="29" spans="1:24" ht="15.75" customHeight="1">
      <c r="A29" s="71">
        <v>44304</v>
      </c>
      <c r="B29" s="70" t="s">
        <v>105</v>
      </c>
      <c r="C29" s="70" t="s">
        <v>78</v>
      </c>
      <c r="D29" s="72">
        <v>-1.4E-3</v>
      </c>
      <c r="E29" s="72">
        <v>5.1999999999999998E-3</v>
      </c>
      <c r="F29" s="73">
        <f t="shared" si="2"/>
        <v>140.83962729125628</v>
      </c>
      <c r="G29" s="73">
        <f t="shared" si="0"/>
        <v>140.64245181304852</v>
      </c>
      <c r="H29" s="73">
        <f t="shared" si="3"/>
        <v>134.96424540737331</v>
      </c>
      <c r="I29" s="73">
        <f t="shared" si="1"/>
        <v>135.66605948349167</v>
      </c>
      <c r="T29" s="75"/>
      <c r="U29" s="75"/>
      <c r="W29" s="75"/>
      <c r="X29" s="75"/>
    </row>
    <row r="30" spans="1:24" ht="15.75" customHeight="1">
      <c r="A30" s="74">
        <v>44334</v>
      </c>
      <c r="B30" s="70" t="s">
        <v>106</v>
      </c>
      <c r="C30" s="70" t="s">
        <v>78</v>
      </c>
      <c r="D30" s="72">
        <v>4.3900000000000002E-2</v>
      </c>
      <c r="E30" s="72">
        <v>2.4299999999999999E-2</v>
      </c>
      <c r="F30" s="73">
        <f t="shared" si="2"/>
        <v>140.64245181304852</v>
      </c>
      <c r="G30" s="73">
        <f t="shared" si="0"/>
        <v>146.81665544764135</v>
      </c>
      <c r="H30" s="73">
        <f t="shared" si="3"/>
        <v>135.66605948349167</v>
      </c>
      <c r="I30" s="73">
        <f t="shared" si="1"/>
        <v>138.96274472894052</v>
      </c>
      <c r="T30" s="75"/>
      <c r="U30" s="75"/>
      <c r="W30" s="75"/>
      <c r="X30" s="75"/>
    </row>
    <row r="31" spans="1:24" ht="15.75" customHeight="1">
      <c r="A31" s="71">
        <v>44365</v>
      </c>
      <c r="B31" s="70" t="s">
        <v>107</v>
      </c>
      <c r="C31" s="70" t="s">
        <v>78</v>
      </c>
      <c r="D31" s="72">
        <v>1.4999999999999999E-2</v>
      </c>
      <c r="E31" s="72">
        <v>5.7999999999999996E-3</v>
      </c>
      <c r="F31" s="73">
        <f t="shared" si="2"/>
        <v>146.81665544764135</v>
      </c>
      <c r="G31" s="73">
        <f t="shared" si="0"/>
        <v>149.01890527935595</v>
      </c>
      <c r="H31" s="73">
        <f t="shared" si="3"/>
        <v>138.96274472894052</v>
      </c>
      <c r="I31" s="73">
        <f t="shared" si="1"/>
        <v>139.76872864836838</v>
      </c>
      <c r="T31" s="75"/>
      <c r="U31" s="75"/>
      <c r="W31" s="75"/>
      <c r="X31" s="75"/>
    </row>
    <row r="32" spans="1:24" ht="15.75" customHeight="1">
      <c r="A32" s="71">
        <v>44395</v>
      </c>
      <c r="B32" s="70" t="s">
        <v>108</v>
      </c>
      <c r="C32" s="70" t="s">
        <v>78</v>
      </c>
      <c r="D32" s="72">
        <v>-8.8000000000000005E-3</v>
      </c>
      <c r="E32" s="72">
        <v>3.6999999999999998E-2</v>
      </c>
      <c r="F32" s="73">
        <f t="shared" si="2"/>
        <v>149.01890527935595</v>
      </c>
      <c r="G32" s="73">
        <f t="shared" si="0"/>
        <v>147.7075389128976</v>
      </c>
      <c r="H32" s="73">
        <f t="shared" si="3"/>
        <v>139.76872864836838</v>
      </c>
      <c r="I32" s="73">
        <f t="shared" si="1"/>
        <v>144.94017160835799</v>
      </c>
      <c r="Q32" s="75"/>
      <c r="R32" s="75"/>
      <c r="T32" s="75"/>
      <c r="U32" s="75"/>
      <c r="W32" s="75"/>
      <c r="X32" s="75"/>
    </row>
    <row r="33" spans="1:24" ht="15.75" customHeight="1">
      <c r="A33" s="71">
        <v>44426</v>
      </c>
      <c r="B33" s="70" t="s">
        <v>109</v>
      </c>
      <c r="C33" s="70" t="s">
        <v>78</v>
      </c>
      <c r="D33" s="72">
        <v>0.1115</v>
      </c>
      <c r="E33" s="72">
        <v>3.1899999999999998E-2</v>
      </c>
      <c r="F33" s="73">
        <f t="shared" si="2"/>
        <v>147.7075389128976</v>
      </c>
      <c r="G33" s="73">
        <f t="shared" si="0"/>
        <v>164.17692950168566</v>
      </c>
      <c r="H33" s="73">
        <f t="shared" si="3"/>
        <v>144.94017160835799</v>
      </c>
      <c r="I33" s="73">
        <f t="shared" si="1"/>
        <v>149.56376308266462</v>
      </c>
      <c r="Q33" s="75"/>
      <c r="R33" s="75"/>
      <c r="T33" s="75"/>
      <c r="U33" s="75"/>
      <c r="W33" s="75"/>
      <c r="X33" s="75"/>
    </row>
    <row r="34" spans="1:24" ht="15.75" customHeight="1">
      <c r="A34" s="71">
        <v>44457</v>
      </c>
      <c r="B34" s="70" t="s">
        <v>110</v>
      </c>
      <c r="C34" s="70" t="s">
        <v>78</v>
      </c>
      <c r="D34" s="72">
        <v>2.8E-3</v>
      </c>
      <c r="E34" s="72">
        <v>5.8999999999999999E-3</v>
      </c>
      <c r="F34" s="73">
        <f t="shared" si="2"/>
        <v>164.17692950168566</v>
      </c>
      <c r="G34" s="73">
        <f t="shared" si="0"/>
        <v>164.63662490429036</v>
      </c>
      <c r="H34" s="73">
        <f t="shared" si="3"/>
        <v>149.56376308266462</v>
      </c>
      <c r="I34" s="73">
        <f t="shared" si="1"/>
        <v>150.44618928485235</v>
      </c>
      <c r="Q34" s="75"/>
      <c r="R34" s="75"/>
      <c r="T34" s="75"/>
      <c r="U34" s="75"/>
      <c r="W34" s="75"/>
      <c r="X34" s="75"/>
    </row>
    <row r="35" spans="1:24" ht="15.75" customHeight="1">
      <c r="A35" s="71">
        <v>44487</v>
      </c>
      <c r="B35" s="70" t="s">
        <v>111</v>
      </c>
      <c r="C35" s="70" t="s">
        <v>78</v>
      </c>
      <c r="D35" s="72">
        <v>-6.8000000000000005E-2</v>
      </c>
      <c r="E35" s="72">
        <v>-6.9099999999999995E-2</v>
      </c>
      <c r="F35" s="73">
        <f t="shared" si="2"/>
        <v>164.63662490429036</v>
      </c>
      <c r="G35" s="73">
        <f t="shared" si="0"/>
        <v>153.44133441079859</v>
      </c>
      <c r="H35" s="73">
        <f t="shared" si="3"/>
        <v>150.44618928485235</v>
      </c>
      <c r="I35" s="73">
        <f t="shared" si="1"/>
        <v>140.05035760526906</v>
      </c>
      <c r="Q35" s="75"/>
      <c r="R35" s="75"/>
      <c r="T35" s="75"/>
      <c r="U35" s="75"/>
      <c r="W35" s="75"/>
      <c r="X35" s="75"/>
    </row>
    <row r="36" spans="1:24" ht="15.75" customHeight="1">
      <c r="A36" s="71">
        <v>44518</v>
      </c>
      <c r="B36" s="70" t="s">
        <v>112</v>
      </c>
      <c r="C36" s="70" t="s">
        <v>78</v>
      </c>
      <c r="D36" s="72">
        <v>-2.0400000000000001E-2</v>
      </c>
      <c r="E36" s="72">
        <v>1.8499999999999999E-2</v>
      </c>
      <c r="F36" s="73">
        <f t="shared" si="2"/>
        <v>153.44133441079859</v>
      </c>
      <c r="G36" s="73">
        <f t="shared" si="0"/>
        <v>150.31113118881831</v>
      </c>
      <c r="H36" s="73">
        <f t="shared" si="3"/>
        <v>140.05035760526906</v>
      </c>
      <c r="I36" s="73">
        <f t="shared" si="1"/>
        <v>142.64128922096654</v>
      </c>
      <c r="Q36" s="75"/>
      <c r="R36" s="75"/>
      <c r="T36" s="75"/>
      <c r="U36" s="75"/>
      <c r="W36" s="75"/>
      <c r="X36" s="75"/>
    </row>
    <row r="37" spans="1:24" ht="15">
      <c r="A37" s="71">
        <v>44548</v>
      </c>
      <c r="B37" s="70" t="s">
        <v>113</v>
      </c>
      <c r="C37" s="70" t="s">
        <v>78</v>
      </c>
      <c r="D37" s="72">
        <v>-2.64E-2</v>
      </c>
      <c r="E37" s="72">
        <v>-8.7900000000000006E-2</v>
      </c>
      <c r="F37" s="73">
        <f t="shared" si="2"/>
        <v>150.31113118881831</v>
      </c>
      <c r="G37" s="73">
        <f t="shared" si="0"/>
        <v>146.34291732543352</v>
      </c>
      <c r="H37" s="73">
        <f t="shared" si="3"/>
        <v>142.64128922096654</v>
      </c>
      <c r="I37" s="73">
        <f t="shared" si="1"/>
        <v>130.10311989844359</v>
      </c>
      <c r="Q37" s="75"/>
      <c r="R37" s="75"/>
      <c r="T37" s="75"/>
      <c r="U37" s="75"/>
      <c r="W37" s="75"/>
      <c r="X37" s="75"/>
    </row>
    <row r="38" spans="1:24" ht="15">
      <c r="A38" s="71">
        <v>44215</v>
      </c>
      <c r="B38" s="70" t="s">
        <v>84</v>
      </c>
      <c r="C38" s="70" t="s">
        <v>78</v>
      </c>
      <c r="D38" s="72">
        <v>3.3000000000000002E-2</v>
      </c>
      <c r="E38" s="72">
        <v>8.0100000000000005E-2</v>
      </c>
      <c r="F38" s="73">
        <f t="shared" si="2"/>
        <v>146.34291732543352</v>
      </c>
      <c r="G38" s="73">
        <f t="shared" si="0"/>
        <v>151.17223359717281</v>
      </c>
      <c r="H38" s="73">
        <f t="shared" si="3"/>
        <v>130.10311989844359</v>
      </c>
      <c r="I38" s="73">
        <f t="shared" si="1"/>
        <v>140.52437980230894</v>
      </c>
      <c r="Q38" s="75"/>
      <c r="R38" s="75"/>
      <c r="T38" s="75"/>
      <c r="U38" s="75"/>
      <c r="W38" s="75"/>
      <c r="X38" s="75"/>
    </row>
    <row r="39" spans="1:24" ht="15">
      <c r="A39" s="71">
        <v>44246</v>
      </c>
      <c r="B39" s="70" t="s">
        <v>114</v>
      </c>
      <c r="C39" s="70" t="s">
        <v>78</v>
      </c>
      <c r="D39" s="72">
        <v>-3.2000000000000002E-3</v>
      </c>
      <c r="E39" s="72">
        <v>3.2399999999999998E-2</v>
      </c>
      <c r="F39" s="73">
        <f t="shared" si="2"/>
        <v>151.17223359717281</v>
      </c>
      <c r="G39" s="73">
        <f t="shared" si="0"/>
        <v>150.68848244966185</v>
      </c>
      <c r="H39" s="73">
        <f t="shared" si="3"/>
        <v>140.52437980230894</v>
      </c>
      <c r="I39" s="73">
        <f t="shared" si="1"/>
        <v>145.07736970790376</v>
      </c>
      <c r="Q39" s="75"/>
      <c r="R39" s="75"/>
      <c r="T39" s="75"/>
      <c r="U39" s="75"/>
      <c r="W39" s="75"/>
      <c r="X39" s="75"/>
    </row>
    <row r="40" spans="1:24" ht="15">
      <c r="A40" s="71">
        <v>44274</v>
      </c>
      <c r="B40" s="70" t="s">
        <v>115</v>
      </c>
      <c r="C40" s="70" t="s">
        <v>78</v>
      </c>
      <c r="D40" s="72">
        <v>2.8299999999999999E-2</v>
      </c>
      <c r="E40" s="72">
        <v>1.8100000000000002E-2</v>
      </c>
      <c r="F40" s="73">
        <f t="shared" si="2"/>
        <v>150.68848244966185</v>
      </c>
      <c r="G40" s="73">
        <f t="shared" si="0"/>
        <v>154.95296650298727</v>
      </c>
      <c r="H40" s="73">
        <f t="shared" si="3"/>
        <v>145.07736970790376</v>
      </c>
      <c r="I40" s="73">
        <f t="shared" si="1"/>
        <v>147.70327009961682</v>
      </c>
      <c r="Q40" s="75"/>
      <c r="R40" s="75"/>
      <c r="T40" s="75"/>
      <c r="U40" s="75"/>
      <c r="W40" s="75"/>
      <c r="X40" s="75"/>
    </row>
    <row r="41" spans="1:24" ht="15">
      <c r="A41" s="71">
        <v>44305</v>
      </c>
      <c r="B41" s="70" t="s">
        <v>87</v>
      </c>
      <c r="C41" s="70" t="s">
        <v>78</v>
      </c>
      <c r="D41" s="72">
        <v>6.4199999999999993E-2</v>
      </c>
      <c r="E41" s="72">
        <v>4.0899999999999999E-2</v>
      </c>
      <c r="F41" s="73">
        <f t="shared" si="2"/>
        <v>154.95296650298727</v>
      </c>
      <c r="G41" s="73">
        <f t="shared" si="0"/>
        <v>164.90094695247905</v>
      </c>
      <c r="H41" s="73">
        <f t="shared" si="3"/>
        <v>147.70327009961682</v>
      </c>
      <c r="I41" s="73">
        <f t="shared" si="1"/>
        <v>153.74433384669115</v>
      </c>
      <c r="Q41" s="75"/>
      <c r="R41" s="75"/>
      <c r="T41" s="75"/>
      <c r="U41" s="75"/>
      <c r="W41" s="75"/>
      <c r="X41" s="75"/>
    </row>
    <row r="42" spans="1:24" ht="15">
      <c r="A42" s="74">
        <v>44335</v>
      </c>
      <c r="B42" s="70" t="s">
        <v>116</v>
      </c>
      <c r="C42" s="70" t="s">
        <v>78</v>
      </c>
      <c r="D42" s="72">
        <v>-7.5700000000000003E-2</v>
      </c>
      <c r="E42" s="72">
        <v>-6.3799999999999996E-2</v>
      </c>
      <c r="F42" s="73">
        <f t="shared" si="2"/>
        <v>164.90094695247905</v>
      </c>
      <c r="G42" s="73">
        <f t="shared" si="0"/>
        <v>152.4179452681764</v>
      </c>
      <c r="H42" s="73">
        <f t="shared" si="3"/>
        <v>153.74433384669115</v>
      </c>
      <c r="I42" s="73">
        <f t="shared" si="1"/>
        <v>143.93544534727226</v>
      </c>
      <c r="Q42" s="75"/>
      <c r="R42" s="75"/>
      <c r="T42" s="75"/>
      <c r="U42" s="75"/>
      <c r="W42" s="75"/>
      <c r="X42" s="75"/>
    </row>
    <row r="43" spans="1:24" ht="15">
      <c r="A43" s="71">
        <v>44366</v>
      </c>
      <c r="B43" s="70" t="s">
        <v>117</v>
      </c>
      <c r="C43" s="70" t="s">
        <v>78</v>
      </c>
      <c r="D43" s="72">
        <v>4.1399999999999999E-2</v>
      </c>
      <c r="E43" s="72">
        <v>6.9599999999999995E-2</v>
      </c>
      <c r="F43" s="73">
        <f t="shared" si="2"/>
        <v>152.4179452681764</v>
      </c>
      <c r="G43" s="73">
        <f t="shared" si="0"/>
        <v>158.72804820227893</v>
      </c>
      <c r="H43" s="73">
        <f t="shared" si="3"/>
        <v>143.93544534727226</v>
      </c>
      <c r="I43" s="73">
        <f t="shared" si="1"/>
        <v>153.95335234344239</v>
      </c>
      <c r="Q43" s="75"/>
      <c r="R43" s="75"/>
      <c r="T43" s="75"/>
      <c r="U43" s="75"/>
      <c r="W43" s="75"/>
      <c r="X43" s="75"/>
    </row>
    <row r="44" spans="1:24" ht="15">
      <c r="A44" s="71">
        <v>44396</v>
      </c>
      <c r="B44" s="70" t="s">
        <v>118</v>
      </c>
      <c r="C44" s="70" t="s">
        <v>78</v>
      </c>
      <c r="D44" s="72">
        <v>2.0199999999999999E-2</v>
      </c>
      <c r="E44" s="72">
        <v>1.5100000000000001E-2</v>
      </c>
      <c r="F44" s="73">
        <f t="shared" si="2"/>
        <v>158.72804820227893</v>
      </c>
      <c r="G44" s="73">
        <f t="shared" si="0"/>
        <v>161.93435477596495</v>
      </c>
      <c r="H44" s="73">
        <f t="shared" si="3"/>
        <v>153.95335234344239</v>
      </c>
      <c r="I44" s="73">
        <f t="shared" si="1"/>
        <v>156.27804796382836</v>
      </c>
      <c r="Q44" s="75"/>
      <c r="R44" s="75"/>
      <c r="T44" s="75"/>
      <c r="U44" s="75"/>
      <c r="W44" s="75"/>
      <c r="X44" s="75"/>
    </row>
    <row r="45" spans="1:24" ht="15">
      <c r="A45" s="71">
        <v>44427</v>
      </c>
      <c r="B45" s="70" t="s">
        <v>119</v>
      </c>
      <c r="C45" s="70" t="s">
        <v>78</v>
      </c>
      <c r="D45" s="72">
        <v>3.2000000000000001E-2</v>
      </c>
      <c r="E45" s="72">
        <v>-1.67E-2</v>
      </c>
      <c r="F45" s="73">
        <f t="shared" si="2"/>
        <v>161.93435477596495</v>
      </c>
      <c r="G45" s="73">
        <f t="shared" si="0"/>
        <v>167.11625412879584</v>
      </c>
      <c r="H45" s="73">
        <f t="shared" si="3"/>
        <v>156.27804796382836</v>
      </c>
      <c r="I45" s="73">
        <f t="shared" si="1"/>
        <v>153.66820456283241</v>
      </c>
      <c r="Q45" s="75"/>
      <c r="R45" s="75"/>
      <c r="T45" s="75"/>
      <c r="U45" s="75"/>
      <c r="W45" s="75"/>
      <c r="X45" s="75"/>
    </row>
    <row r="46" spans="1:24" ht="15">
      <c r="A46" s="71">
        <v>44458</v>
      </c>
      <c r="B46" s="70" t="s">
        <v>117</v>
      </c>
      <c r="C46" s="70" t="s">
        <v>78</v>
      </c>
      <c r="D46" s="72">
        <v>-1.1900000000000001E-2</v>
      </c>
      <c r="E46" s="72">
        <v>1.95E-2</v>
      </c>
      <c r="F46" s="73">
        <f t="shared" si="2"/>
        <v>167.11625412879584</v>
      </c>
      <c r="G46" s="73">
        <f t="shared" si="0"/>
        <v>165.12757070466316</v>
      </c>
      <c r="H46" s="73">
        <f t="shared" si="3"/>
        <v>153.66820456283241</v>
      </c>
      <c r="I46" s="73">
        <f t="shared" si="1"/>
        <v>156.66473455180767</v>
      </c>
      <c r="Q46" s="75"/>
      <c r="R46" s="75"/>
      <c r="T46" s="75"/>
      <c r="U46" s="75"/>
      <c r="W46" s="75"/>
      <c r="X46" s="75"/>
    </row>
    <row r="47" spans="1:24" ht="15">
      <c r="A47" s="71">
        <v>44488</v>
      </c>
      <c r="B47" s="70" t="s">
        <v>120</v>
      </c>
      <c r="C47" s="70" t="s">
        <v>78</v>
      </c>
      <c r="D47" s="72">
        <v>3.3300000000000003E-2</v>
      </c>
      <c r="E47" s="72">
        <v>2.2100000000000002E-2</v>
      </c>
      <c r="F47" s="73">
        <f t="shared" si="2"/>
        <v>165.12757070466316</v>
      </c>
      <c r="G47" s="73">
        <f t="shared" si="0"/>
        <v>170.62631880912846</v>
      </c>
      <c r="H47" s="73">
        <f t="shared" si="3"/>
        <v>156.66473455180767</v>
      </c>
      <c r="I47" s="73">
        <f t="shared" si="1"/>
        <v>160.12702518540263</v>
      </c>
      <c r="Q47" s="75"/>
      <c r="R47" s="75"/>
      <c r="T47" s="75"/>
      <c r="U47" s="75"/>
      <c r="W47" s="75"/>
      <c r="X47" s="75"/>
    </row>
    <row r="48" spans="1:24" ht="15">
      <c r="A48" s="71">
        <v>44519</v>
      </c>
      <c r="B48" s="70" t="s">
        <v>121</v>
      </c>
      <c r="C48" s="70" t="s">
        <v>78</v>
      </c>
      <c r="D48" s="72">
        <v>5.6500000000000002E-2</v>
      </c>
      <c r="E48" s="72">
        <v>3.6200000000000003E-2</v>
      </c>
      <c r="F48" s="73">
        <f t="shared" si="2"/>
        <v>170.62631880912846</v>
      </c>
      <c r="G48" s="73">
        <f t="shared" si="0"/>
        <v>180.26670582184423</v>
      </c>
      <c r="H48" s="73">
        <f t="shared" si="3"/>
        <v>160.12702518540263</v>
      </c>
      <c r="I48" s="73">
        <f t="shared" si="1"/>
        <v>165.92362349711419</v>
      </c>
      <c r="Q48" s="75"/>
      <c r="R48" s="75"/>
      <c r="T48" s="75"/>
      <c r="U48" s="75"/>
      <c r="W48" s="75"/>
      <c r="X48" s="75"/>
    </row>
    <row r="49" spans="1:24" ht="15">
      <c r="A49" s="71">
        <v>44549</v>
      </c>
      <c r="B49" s="70" t="s">
        <v>88</v>
      </c>
      <c r="C49" s="70" t="s">
        <v>78</v>
      </c>
      <c r="D49" s="72">
        <v>5.0999999999999997E-2</v>
      </c>
      <c r="E49" s="72">
        <v>2.9000000000000001E-2</v>
      </c>
      <c r="F49" s="73">
        <f t="shared" si="2"/>
        <v>180.26670582184423</v>
      </c>
      <c r="G49" s="73">
        <f t="shared" si="0"/>
        <v>189.46030781875828</v>
      </c>
      <c r="H49" s="73">
        <f t="shared" si="3"/>
        <v>165.92362349711419</v>
      </c>
      <c r="I49" s="73">
        <f t="shared" si="1"/>
        <v>170.7354085785305</v>
      </c>
      <c r="Q49" s="75"/>
      <c r="R49" s="75"/>
      <c r="T49" s="75"/>
      <c r="U49" s="75"/>
      <c r="W49" s="75"/>
      <c r="X49" s="75"/>
    </row>
    <row r="50" spans="1:24" ht="15">
      <c r="A50" s="71">
        <v>44216</v>
      </c>
      <c r="B50" s="70" t="s">
        <v>122</v>
      </c>
      <c r="C50" s="70" t="s">
        <v>78</v>
      </c>
      <c r="D50" s="72">
        <v>3.6600000000000001E-2</v>
      </c>
      <c r="E50" s="72">
        <v>-4.0000000000000002E-4</v>
      </c>
      <c r="F50" s="73">
        <f t="shared" si="2"/>
        <v>189.46030781875828</v>
      </c>
      <c r="G50" s="73">
        <f t="shared" si="0"/>
        <v>196.39455508492483</v>
      </c>
      <c r="H50" s="73">
        <f t="shared" si="3"/>
        <v>170.7354085785305</v>
      </c>
      <c r="I50" s="73">
        <f t="shared" si="1"/>
        <v>170.66711441509909</v>
      </c>
      <c r="Q50" s="75"/>
      <c r="R50" s="75"/>
      <c r="T50" s="75"/>
      <c r="U50" s="75"/>
      <c r="W50" s="75"/>
      <c r="X50" s="75"/>
    </row>
    <row r="51" spans="1:24" ht="15">
      <c r="A51" s="71">
        <v>44247</v>
      </c>
      <c r="B51" s="70" t="s">
        <v>123</v>
      </c>
      <c r="C51" s="70" t="s">
        <v>78</v>
      </c>
      <c r="D51" s="72">
        <v>-4.1500000000000002E-2</v>
      </c>
      <c r="E51" s="72">
        <v>-7.9200000000000007E-2</v>
      </c>
      <c r="F51" s="73">
        <f t="shared" si="2"/>
        <v>196.39455508492483</v>
      </c>
      <c r="G51" s="73">
        <f t="shared" si="0"/>
        <v>188.24418104890046</v>
      </c>
      <c r="H51" s="73">
        <f t="shared" si="3"/>
        <v>170.66711441509909</v>
      </c>
      <c r="I51" s="73">
        <f t="shared" si="1"/>
        <v>157.15027895342322</v>
      </c>
      <c r="Q51" s="75"/>
      <c r="R51" s="75"/>
      <c r="T51" s="75"/>
      <c r="U51" s="75"/>
      <c r="W51" s="75"/>
      <c r="X51" s="75"/>
    </row>
    <row r="52" spans="1:24" ht="15">
      <c r="A52" s="71">
        <v>44275</v>
      </c>
      <c r="B52" s="70" t="s">
        <v>124</v>
      </c>
      <c r="C52" s="70" t="s">
        <v>78</v>
      </c>
      <c r="D52" s="72">
        <v>0.01</v>
      </c>
      <c r="E52" s="72">
        <v>-0.1246</v>
      </c>
      <c r="F52" s="73">
        <f t="shared" si="2"/>
        <v>188.24418104890046</v>
      </c>
      <c r="G52" s="73">
        <f t="shared" si="0"/>
        <v>190.12662285938947</v>
      </c>
      <c r="H52" s="73">
        <f t="shared" si="3"/>
        <v>157.15027895342322</v>
      </c>
      <c r="I52" s="73">
        <f t="shared" si="1"/>
        <v>137.56935419582669</v>
      </c>
      <c r="Q52" s="75"/>
      <c r="R52" s="75"/>
      <c r="T52" s="75"/>
      <c r="U52" s="75"/>
      <c r="W52" s="75"/>
      <c r="X52" s="75"/>
    </row>
    <row r="53" spans="1:24" ht="15">
      <c r="A53" s="71">
        <v>44306</v>
      </c>
      <c r="B53" s="70" t="s">
        <v>125</v>
      </c>
      <c r="C53" s="70" t="s">
        <v>78</v>
      </c>
      <c r="D53" s="72">
        <v>0.10879999999999999</v>
      </c>
      <c r="E53" s="72">
        <v>0.127</v>
      </c>
      <c r="F53" s="73">
        <f t="shared" si="2"/>
        <v>190.12662285938947</v>
      </c>
      <c r="G53" s="73">
        <f t="shared" si="0"/>
        <v>210.81239942649106</v>
      </c>
      <c r="H53" s="73">
        <f t="shared" si="3"/>
        <v>137.56935419582669</v>
      </c>
      <c r="I53" s="73">
        <f t="shared" si="1"/>
        <v>155.04066217869669</v>
      </c>
      <c r="Q53" s="75"/>
      <c r="R53" s="75"/>
      <c r="T53" s="75"/>
      <c r="U53" s="75"/>
      <c r="W53" s="75"/>
      <c r="X53" s="75"/>
    </row>
    <row r="54" spans="1:24" ht="15">
      <c r="A54" s="74">
        <v>44336</v>
      </c>
      <c r="B54" s="70" t="s">
        <v>126</v>
      </c>
      <c r="C54" s="70" t="s">
        <v>78</v>
      </c>
      <c r="D54" s="72">
        <v>2.2000000000000001E-3</v>
      </c>
      <c r="E54" s="72">
        <v>4.7600000000000003E-2</v>
      </c>
      <c r="F54" s="73">
        <f t="shared" si="2"/>
        <v>210.81239942649106</v>
      </c>
      <c r="G54" s="73">
        <f t="shared" si="0"/>
        <v>211.27618670522932</v>
      </c>
      <c r="H54" s="73">
        <f t="shared" si="3"/>
        <v>155.04066217869669</v>
      </c>
      <c r="I54" s="73">
        <f t="shared" si="1"/>
        <v>162.42059769840267</v>
      </c>
      <c r="Q54" s="75"/>
      <c r="R54" s="75"/>
      <c r="T54" s="75"/>
      <c r="U54" s="75"/>
      <c r="W54" s="75"/>
      <c r="X54" s="75"/>
    </row>
    <row r="55" spans="1:24" ht="15">
      <c r="A55" s="71">
        <v>44367</v>
      </c>
      <c r="B55" s="70" t="s">
        <v>127</v>
      </c>
      <c r="C55" s="70" t="s">
        <v>78</v>
      </c>
      <c r="D55" s="72">
        <v>7.2300000000000003E-2</v>
      </c>
      <c r="E55" s="72">
        <v>1.78E-2</v>
      </c>
      <c r="F55" s="73">
        <f t="shared" si="2"/>
        <v>211.27618670522932</v>
      </c>
      <c r="G55" s="73">
        <f t="shared" si="0"/>
        <v>226.55145500401741</v>
      </c>
      <c r="H55" s="73">
        <f t="shared" si="3"/>
        <v>162.42059769840267</v>
      </c>
      <c r="I55" s="73">
        <f t="shared" si="1"/>
        <v>165.31168433743426</v>
      </c>
      <c r="N55" s="75"/>
      <c r="O55" s="75"/>
      <c r="Q55" s="75"/>
      <c r="R55" s="75"/>
      <c r="T55" s="75"/>
      <c r="U55" s="75"/>
      <c r="W55" s="75"/>
      <c r="X55" s="75"/>
    </row>
    <row r="56" spans="1:24" ht="15">
      <c r="A56" s="71">
        <v>44397</v>
      </c>
      <c r="B56" s="70" t="s">
        <v>87</v>
      </c>
      <c r="C56" s="70" t="s">
        <v>78</v>
      </c>
      <c r="D56" s="72">
        <v>0.1113</v>
      </c>
      <c r="E56" s="72">
        <v>5.8900000000000001E-2</v>
      </c>
      <c r="F56" s="73">
        <f t="shared" si="2"/>
        <v>226.55145500401741</v>
      </c>
      <c r="G56" s="73">
        <f t="shared" si="0"/>
        <v>251.76663194596455</v>
      </c>
      <c r="H56" s="73">
        <f t="shared" si="3"/>
        <v>165.31168433743426</v>
      </c>
      <c r="I56" s="73">
        <f t="shared" si="1"/>
        <v>175.04854254490914</v>
      </c>
      <c r="N56" s="75"/>
      <c r="O56" s="75"/>
      <c r="Q56" s="75"/>
      <c r="R56" s="75"/>
      <c r="T56" s="75"/>
      <c r="U56" s="75"/>
      <c r="W56" s="75"/>
      <c r="X56" s="75"/>
    </row>
    <row r="57" spans="1:24" ht="15">
      <c r="A57" s="71">
        <v>44428</v>
      </c>
      <c r="B57" s="70" t="s">
        <v>128</v>
      </c>
      <c r="C57" s="70" t="s">
        <v>78</v>
      </c>
      <c r="D57" s="72">
        <v>0.13650000000000001</v>
      </c>
      <c r="E57" s="72">
        <v>6.9800000000000001E-2</v>
      </c>
      <c r="F57" s="73">
        <f t="shared" si="2"/>
        <v>251.76663194596455</v>
      </c>
      <c r="G57" s="73">
        <f t="shared" si="0"/>
        <v>286.13277720658874</v>
      </c>
      <c r="H57" s="73">
        <f t="shared" si="3"/>
        <v>175.04854254490914</v>
      </c>
      <c r="I57" s="73">
        <f t="shared" si="1"/>
        <v>187.2669308145438</v>
      </c>
      <c r="N57" s="75"/>
      <c r="O57" s="75"/>
      <c r="Q57" s="75"/>
      <c r="R57" s="75"/>
      <c r="T57" s="75"/>
      <c r="U57" s="75"/>
      <c r="W57" s="75"/>
      <c r="X57" s="75"/>
    </row>
    <row r="58" spans="1:24" ht="15">
      <c r="A58" s="71">
        <v>44459</v>
      </c>
      <c r="B58" s="70" t="s">
        <v>128</v>
      </c>
      <c r="C58" s="70" t="s">
        <v>78</v>
      </c>
      <c r="D58" s="72">
        <v>-7.0000000000000007E-2</v>
      </c>
      <c r="E58" s="72">
        <v>-3.7400000000000003E-2</v>
      </c>
      <c r="F58" s="73">
        <f t="shared" si="2"/>
        <v>286.13277720658874</v>
      </c>
      <c r="G58" s="73">
        <f t="shared" si="0"/>
        <v>266.10348280212753</v>
      </c>
      <c r="H58" s="73">
        <f t="shared" si="3"/>
        <v>187.2669308145438</v>
      </c>
      <c r="I58" s="73">
        <f t="shared" si="1"/>
        <v>180.26314760207987</v>
      </c>
      <c r="N58" s="75"/>
      <c r="O58" s="75"/>
      <c r="Q58" s="75"/>
      <c r="R58" s="75"/>
      <c r="T58" s="75"/>
      <c r="U58" s="75"/>
      <c r="W58" s="75"/>
      <c r="X58" s="75"/>
    </row>
    <row r="59" spans="1:24" ht="15">
      <c r="A59" s="71">
        <v>44489</v>
      </c>
      <c r="B59" s="70" t="s">
        <v>129</v>
      </c>
      <c r="C59" s="70" t="s">
        <v>78</v>
      </c>
      <c r="D59" s="72">
        <v>-1.8700000000000001E-2</v>
      </c>
      <c r="E59" s="72">
        <v>-2.4899999999999999E-2</v>
      </c>
      <c r="F59" s="73">
        <f t="shared" si="2"/>
        <v>266.10348280212753</v>
      </c>
      <c r="G59" s="73">
        <f t="shared" si="0"/>
        <v>261.12734767372774</v>
      </c>
      <c r="H59" s="73">
        <f t="shared" si="3"/>
        <v>180.26314760207987</v>
      </c>
      <c r="I59" s="73">
        <f t="shared" si="1"/>
        <v>175.77459522678808</v>
      </c>
      <c r="N59" s="75"/>
      <c r="O59" s="75"/>
      <c r="Q59" s="75"/>
      <c r="R59" s="75"/>
      <c r="T59" s="75"/>
      <c r="U59" s="75"/>
      <c r="W59" s="75"/>
      <c r="X59" s="75"/>
    </row>
    <row r="60" spans="1:24" ht="15">
      <c r="A60" s="71">
        <v>44520</v>
      </c>
      <c r="B60" s="70" t="s">
        <v>130</v>
      </c>
      <c r="C60" s="70" t="s">
        <v>78</v>
      </c>
      <c r="D60" s="72">
        <v>0.12809999999999999</v>
      </c>
      <c r="E60" s="72">
        <v>0.10879999999999999</v>
      </c>
      <c r="F60" s="73">
        <f t="shared" si="2"/>
        <v>261.12734767372774</v>
      </c>
      <c r="G60" s="73">
        <f t="shared" si="0"/>
        <v>294.57776091073225</v>
      </c>
      <c r="H60" s="73">
        <f t="shared" si="3"/>
        <v>175.77459522678808</v>
      </c>
      <c r="I60" s="73">
        <f t="shared" si="1"/>
        <v>194.89887118746262</v>
      </c>
      <c r="N60" s="75"/>
      <c r="O60" s="75"/>
      <c r="Q60" s="75"/>
      <c r="R60" s="75"/>
      <c r="T60" s="75"/>
      <c r="U60" s="75"/>
      <c r="W60" s="75"/>
      <c r="X60" s="75"/>
    </row>
    <row r="61" spans="1:24" ht="15">
      <c r="A61" s="71">
        <v>44550</v>
      </c>
      <c r="B61" s="70" t="s">
        <v>131</v>
      </c>
      <c r="C61" s="70" t="s">
        <v>78</v>
      </c>
      <c r="D61" s="72">
        <v>6.6600000000000006E-2</v>
      </c>
      <c r="E61" s="72">
        <v>3.7100000000000001E-2</v>
      </c>
      <c r="F61" s="73">
        <f t="shared" si="2"/>
        <v>294.57776091073225</v>
      </c>
      <c r="G61" s="73">
        <f t="shared" si="0"/>
        <v>314.19663978738703</v>
      </c>
      <c r="H61" s="73">
        <f t="shared" si="3"/>
        <v>194.89887118746262</v>
      </c>
      <c r="I61" s="73">
        <f t="shared" si="1"/>
        <v>202.12961930851748</v>
      </c>
      <c r="N61" s="75"/>
      <c r="O61" s="75"/>
      <c r="Q61" s="75"/>
      <c r="R61" s="75"/>
      <c r="T61" s="75"/>
      <c r="U61" s="75"/>
      <c r="W61" s="75"/>
      <c r="X61" s="75"/>
    </row>
    <row r="62" spans="1:24" ht="15">
      <c r="A62" s="71">
        <v>44217</v>
      </c>
      <c r="B62" s="70" t="s">
        <v>131</v>
      </c>
      <c r="C62" s="70" t="s">
        <v>78</v>
      </c>
      <c r="D62" s="72">
        <v>2.3E-2</v>
      </c>
      <c r="E62" s="72">
        <v>-1.0200000000000001E-2</v>
      </c>
      <c r="F62" s="73">
        <f t="shared" si="2"/>
        <v>314.19663978738703</v>
      </c>
      <c r="G62" s="73">
        <f t="shared" si="0"/>
        <v>321.42316250249689</v>
      </c>
      <c r="H62" s="73">
        <f t="shared" si="3"/>
        <v>202.12961930851748</v>
      </c>
      <c r="I62" s="73">
        <f t="shared" si="1"/>
        <v>200.06789719157061</v>
      </c>
      <c r="J62" s="75"/>
      <c r="K62" s="75"/>
      <c r="N62" s="75"/>
      <c r="O62" s="75"/>
      <c r="Q62" s="75"/>
      <c r="R62" s="75"/>
      <c r="T62" s="75"/>
      <c r="U62" s="75"/>
      <c r="W62" s="75"/>
      <c r="X62" s="75"/>
    </row>
    <row r="63" spans="1:24" ht="15">
      <c r="A63" s="71">
        <v>44248</v>
      </c>
      <c r="B63" s="70" t="s">
        <v>131</v>
      </c>
      <c r="C63" s="70" t="s">
        <v>78</v>
      </c>
      <c r="D63" s="72">
        <v>5.2900000000000003E-2</v>
      </c>
      <c r="E63" s="72">
        <v>2.7799999999999998E-2</v>
      </c>
      <c r="F63" s="73">
        <f t="shared" si="2"/>
        <v>321.42316250249689</v>
      </c>
      <c r="G63" s="73">
        <f t="shared" si="0"/>
        <v>338.42644779887894</v>
      </c>
      <c r="H63" s="73">
        <f t="shared" si="3"/>
        <v>200.06789719157061</v>
      </c>
      <c r="I63" s="73">
        <f t="shared" si="1"/>
        <v>205.62978473349628</v>
      </c>
      <c r="J63" s="75"/>
      <c r="K63" s="75"/>
      <c r="N63" s="75"/>
      <c r="O63" s="75"/>
      <c r="Q63" s="75"/>
      <c r="R63" s="75"/>
      <c r="T63" s="75"/>
      <c r="U63" s="75"/>
      <c r="W63" s="75"/>
      <c r="X63" s="75"/>
    </row>
    <row r="64" spans="1:24" ht="15">
      <c r="A64" s="71">
        <v>44276</v>
      </c>
      <c r="B64" s="70" t="s">
        <v>132</v>
      </c>
      <c r="C64" s="70" t="s">
        <v>78</v>
      </c>
      <c r="D64" s="72">
        <v>4.2599999999999999E-2</v>
      </c>
      <c r="E64" s="72">
        <v>4.5400000000000003E-2</v>
      </c>
      <c r="F64" s="73">
        <f t="shared" si="2"/>
        <v>338.42644779887894</v>
      </c>
      <c r="G64" s="73">
        <f t="shared" si="0"/>
        <v>352.84341447511116</v>
      </c>
      <c r="H64" s="73">
        <f t="shared" si="3"/>
        <v>205.62978473349628</v>
      </c>
      <c r="I64" s="73">
        <f t="shared" si="1"/>
        <v>214.96537696039704</v>
      </c>
      <c r="J64" s="75"/>
      <c r="K64" s="75"/>
      <c r="N64" s="75"/>
      <c r="O64" s="75"/>
      <c r="Q64" s="75"/>
      <c r="R64" s="75"/>
      <c r="T64" s="75"/>
      <c r="U64" s="75"/>
      <c r="W64" s="75"/>
      <c r="X64" s="75"/>
    </row>
    <row r="65" spans="1:25" ht="15">
      <c r="A65" s="71">
        <v>44307</v>
      </c>
      <c r="B65" s="70" t="s">
        <v>133</v>
      </c>
      <c r="C65" s="70" t="s">
        <v>78</v>
      </c>
      <c r="D65" s="72">
        <v>5.4300000000000001E-2</v>
      </c>
      <c r="E65" s="72">
        <v>5.2900000000000003E-2</v>
      </c>
      <c r="F65" s="73">
        <f t="shared" si="2"/>
        <v>352.84341447511116</v>
      </c>
      <c r="G65" s="73">
        <f t="shared" si="0"/>
        <v>372.00281188110972</v>
      </c>
      <c r="H65" s="73">
        <f t="shared" si="3"/>
        <v>214.96537696039704</v>
      </c>
      <c r="I65" s="73">
        <f t="shared" si="1"/>
        <v>226.33704540160204</v>
      </c>
      <c r="J65" s="75"/>
      <c r="K65" s="75"/>
      <c r="N65" s="75"/>
      <c r="O65" s="75"/>
      <c r="Q65" s="75"/>
      <c r="R65" s="75"/>
      <c r="T65" s="75"/>
      <c r="U65" s="75"/>
      <c r="W65" s="75"/>
      <c r="X65" s="75"/>
    </row>
    <row r="66" spans="1:25" ht="15">
      <c r="A66" s="74">
        <v>44337</v>
      </c>
      <c r="B66" s="70" t="s">
        <v>134</v>
      </c>
      <c r="C66" s="70" t="s">
        <v>78</v>
      </c>
      <c r="D66" s="72">
        <v>1.0500000000000001E-2</v>
      </c>
      <c r="E66" s="72">
        <v>6.6E-3</v>
      </c>
      <c r="F66" s="73">
        <f t="shared" si="2"/>
        <v>372.00281188110972</v>
      </c>
      <c r="G66" s="73">
        <f t="shared" si="0"/>
        <v>375.90884140586138</v>
      </c>
      <c r="H66" s="73">
        <f t="shared" si="3"/>
        <v>226.33704540160204</v>
      </c>
      <c r="I66" s="73">
        <f t="shared" si="1"/>
        <v>227.83086990125261</v>
      </c>
      <c r="J66" s="75"/>
      <c r="K66" s="75"/>
      <c r="N66" s="75"/>
      <c r="O66" s="75"/>
      <c r="Q66" s="75"/>
      <c r="R66" s="75"/>
      <c r="T66" s="75"/>
      <c r="U66" s="75"/>
      <c r="W66" s="75"/>
      <c r="X66" s="75"/>
    </row>
    <row r="67" spans="1:25" ht="15">
      <c r="A67" s="71">
        <v>44368</v>
      </c>
      <c r="B67" s="70" t="s">
        <v>135</v>
      </c>
      <c r="C67" s="70" t="s">
        <v>78</v>
      </c>
      <c r="D67" s="19">
        <f>0.07 %</f>
        <v>7.000000000000001E-4</v>
      </c>
      <c r="E67" s="19">
        <f>2.25 %</f>
        <v>2.2499999999999999E-2</v>
      </c>
      <c r="F67" s="73">
        <f t="shared" si="2"/>
        <v>375.90884140586138</v>
      </c>
      <c r="G67" s="73">
        <f t="shared" si="0"/>
        <v>376.17197759484543</v>
      </c>
      <c r="H67" s="73">
        <f t="shared" si="3"/>
        <v>227.83086990125261</v>
      </c>
      <c r="I67" s="73">
        <f t="shared" si="1"/>
        <v>232.9570644740308</v>
      </c>
      <c r="J67" s="75"/>
      <c r="K67" s="75"/>
      <c r="L67" s="72"/>
      <c r="M67" s="13"/>
      <c r="N67" s="75"/>
      <c r="O67" s="75"/>
      <c r="P67" s="72"/>
      <c r="Q67" s="75"/>
      <c r="R67" s="75"/>
      <c r="S67" s="72"/>
      <c r="T67" s="75"/>
      <c r="U67" s="75"/>
      <c r="V67" s="72"/>
      <c r="W67" s="75"/>
      <c r="X67" s="75"/>
      <c r="Y67" s="72"/>
    </row>
    <row r="68" spans="1:25" ht="15">
      <c r="A68" s="76">
        <v>44407</v>
      </c>
      <c r="B68" s="70" t="s">
        <v>136</v>
      </c>
      <c r="C68" s="70" t="s">
        <v>78</v>
      </c>
      <c r="D68" s="19">
        <f>4.48 %</f>
        <v>4.4800000000000006E-2</v>
      </c>
      <c r="E68" s="19">
        <f>2.44 %</f>
        <v>2.4399999999999998E-2</v>
      </c>
      <c r="F68" s="73">
        <f t="shared" si="2"/>
        <v>376.17197759484543</v>
      </c>
      <c r="G68" s="73">
        <f t="shared" si="0"/>
        <v>393.02448219109448</v>
      </c>
      <c r="H68" s="73">
        <f t="shared" si="3"/>
        <v>232.9570644740308</v>
      </c>
      <c r="I68" s="73">
        <f t="shared" si="1"/>
        <v>238.64121684719714</v>
      </c>
      <c r="J68" s="77"/>
      <c r="K68" s="77"/>
      <c r="Y68" s="72"/>
    </row>
    <row r="69" spans="1:25" ht="15">
      <c r="A69" s="76">
        <v>44438</v>
      </c>
      <c r="B69" s="70" t="s">
        <v>136</v>
      </c>
      <c r="C69" s="70" t="s">
        <v>78</v>
      </c>
      <c r="D69" s="19">
        <f>4.53 %</f>
        <v>4.53E-2</v>
      </c>
      <c r="E69" s="19">
        <f>2.98 %</f>
        <v>2.98E-2</v>
      </c>
      <c r="F69" s="73">
        <f t="shared" si="2"/>
        <v>393.02448219109448</v>
      </c>
      <c r="G69" s="73">
        <f t="shared" si="0"/>
        <v>410.82849123435102</v>
      </c>
      <c r="H69" s="73">
        <f t="shared" si="3"/>
        <v>238.64121684719714</v>
      </c>
      <c r="I69" s="73">
        <f t="shared" si="1"/>
        <v>245.75272510924364</v>
      </c>
      <c r="J69" s="77"/>
      <c r="K69" s="72"/>
      <c r="Y69" s="72"/>
    </row>
    <row r="70" spans="1:25" ht="15">
      <c r="A70" s="76">
        <v>44469</v>
      </c>
      <c r="B70" s="70" t="s">
        <v>116</v>
      </c>
      <c r="C70" s="70" t="s">
        <v>78</v>
      </c>
      <c r="D70" s="27">
        <v>-7.1400000000000005E-2</v>
      </c>
      <c r="E70" s="27">
        <v>-4.6600000000000003E-2</v>
      </c>
      <c r="F70" s="73">
        <f t="shared" si="2"/>
        <v>410.82849123435102</v>
      </c>
      <c r="G70" s="73">
        <f t="shared" si="0"/>
        <v>381.49533696021837</v>
      </c>
      <c r="H70" s="73">
        <f t="shared" si="3"/>
        <v>245.75272510924364</v>
      </c>
      <c r="I70" s="73">
        <f t="shared" si="1"/>
        <v>234.3006481191529</v>
      </c>
      <c r="Y70" s="72"/>
    </row>
  </sheetData>
  <mergeCells count="2">
    <mergeCell ref="F1:G1"/>
    <mergeCell ref="H1:I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FF"/>
    <outlinePr summaryBelow="0" summaryRight="0"/>
  </sheetPr>
  <dimension ref="A1:D12"/>
  <sheetViews>
    <sheetView workbookViewId="0"/>
  </sheetViews>
  <sheetFormatPr defaultColWidth="14.42578125" defaultRowHeight="15.75" customHeight="1"/>
  <cols>
    <col min="3" max="3" width="19.5703125" customWidth="1"/>
  </cols>
  <sheetData>
    <row r="1" spans="1:4" ht="15.75" customHeight="1">
      <c r="A1" s="78" t="s">
        <v>137</v>
      </c>
      <c r="B1" s="79" t="s">
        <v>138</v>
      </c>
      <c r="C1" s="80" t="s">
        <v>139</v>
      </c>
      <c r="D1" s="81"/>
    </row>
    <row r="2" spans="1:4" ht="15">
      <c r="A2" s="82">
        <v>2011</v>
      </c>
      <c r="B2" s="83">
        <f>18.3%</f>
        <v>0.183</v>
      </c>
      <c r="C2" s="83">
        <f>1.9%</f>
        <v>1.9E-2</v>
      </c>
      <c r="D2" s="81"/>
    </row>
    <row r="3" spans="1:4" ht="15">
      <c r="A3" s="84">
        <v>2012</v>
      </c>
      <c r="B3" s="85">
        <f>20%</f>
        <v>0.2</v>
      </c>
      <c r="C3" s="85">
        <f>16%</f>
        <v>0.16</v>
      </c>
      <c r="D3" s="81"/>
    </row>
    <row r="4" spans="1:4" ht="15">
      <c r="A4" s="82">
        <v>2013</v>
      </c>
      <c r="B4" s="83">
        <f>43%</f>
        <v>0.43</v>
      </c>
      <c r="C4" s="83">
        <f>32.3%</f>
        <v>0.32299999999999995</v>
      </c>
      <c r="D4" s="81"/>
    </row>
    <row r="5" spans="1:4" ht="15">
      <c r="A5" s="84">
        <v>2014</v>
      </c>
      <c r="B5" s="85">
        <f>12.8%</f>
        <v>0.128</v>
      </c>
      <c r="C5" s="85">
        <f>13.5%</f>
        <v>0.13500000000000001</v>
      </c>
      <c r="D5" s="81"/>
    </row>
    <row r="6" spans="1:4" ht="15">
      <c r="A6" s="82">
        <v>2015</v>
      </c>
      <c r="B6" s="83">
        <f>14%</f>
        <v>0.14000000000000001</v>
      </c>
      <c r="C6" s="83">
        <f>1.3%</f>
        <v>1.3000000000000001E-2</v>
      </c>
      <c r="D6" s="81"/>
    </row>
    <row r="7" spans="1:4" ht="15">
      <c r="A7" s="84">
        <v>2016</v>
      </c>
      <c r="B7" s="85">
        <f>3.6%</f>
        <v>3.6000000000000004E-2</v>
      </c>
      <c r="C7" s="85">
        <f>12%</f>
        <v>0.12</v>
      </c>
      <c r="D7" s="81"/>
    </row>
    <row r="8" spans="1:4" ht="15">
      <c r="A8" s="82">
        <v>2017</v>
      </c>
      <c r="B8" s="83">
        <f>29.4%</f>
        <v>0.29399999999999998</v>
      </c>
      <c r="C8" s="83">
        <f>21.7%</f>
        <v>0.217</v>
      </c>
      <c r="D8" s="81"/>
    </row>
    <row r="9" spans="1:4" ht="15">
      <c r="A9" s="84">
        <v>2018</v>
      </c>
      <c r="B9" s="85">
        <f>9.2%</f>
        <v>9.1999999999999998E-2</v>
      </c>
      <c r="C9" s="86">
        <v>-4.5999999999999999E-2</v>
      </c>
      <c r="D9" s="81"/>
    </row>
    <row r="10" spans="1:4" ht="15">
      <c r="A10" s="82">
        <v>2019</v>
      </c>
      <c r="B10" s="83">
        <f>29.5%</f>
        <v>0.29499999999999998</v>
      </c>
      <c r="C10" s="83">
        <f>31.2%</f>
        <v>0.312</v>
      </c>
      <c r="D10" s="81"/>
    </row>
    <row r="11" spans="1:4" ht="15">
      <c r="A11" s="84">
        <v>2020</v>
      </c>
      <c r="B11" s="85">
        <f>65.9%</f>
        <v>0.65900000000000003</v>
      </c>
      <c r="C11" s="85">
        <f>18.4%</f>
        <v>0.184</v>
      </c>
      <c r="D11" s="81"/>
    </row>
    <row r="12" spans="1:4" ht="15">
      <c r="A12" s="87">
        <v>2021</v>
      </c>
      <c r="B12" s="88">
        <f>19.2%</f>
        <v>0.192</v>
      </c>
      <c r="C12" s="88">
        <f>12.4%</f>
        <v>0.124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00FF"/>
    <outlinePr summaryBelow="0" summaryRight="0"/>
  </sheetPr>
  <dimension ref="A1:I60"/>
  <sheetViews>
    <sheetView workbookViewId="0">
      <pane ySplit="2" topLeftCell="A3" activePane="bottomLeft" state="frozen"/>
      <selection pane="bottomLeft" activeCell="B4" sqref="B4"/>
    </sheetView>
  </sheetViews>
  <sheetFormatPr defaultColWidth="14.42578125" defaultRowHeight="15.75" customHeight="1"/>
  <cols>
    <col min="11" max="11" width="19.85546875" customWidth="1"/>
  </cols>
  <sheetData>
    <row r="1" spans="1:9">
      <c r="A1" s="35"/>
      <c r="B1" s="35"/>
      <c r="C1" s="35"/>
      <c r="D1" s="40" t="s">
        <v>140</v>
      </c>
      <c r="E1" s="40" t="s">
        <v>59</v>
      </c>
      <c r="F1" s="40" t="s">
        <v>141</v>
      </c>
      <c r="G1" s="40" t="s">
        <v>142</v>
      </c>
      <c r="H1" s="40" t="s">
        <v>143</v>
      </c>
    </row>
    <row r="2" spans="1:9">
      <c r="H2" s="69">
        <v>10000</v>
      </c>
    </row>
    <row r="3" spans="1:9">
      <c r="A3" s="64">
        <v>44200</v>
      </c>
      <c r="B3" s="40" t="s">
        <v>144</v>
      </c>
      <c r="C3" s="40" t="s">
        <v>22</v>
      </c>
      <c r="D3" s="20">
        <v>193.5</v>
      </c>
      <c r="E3" s="49">
        <f t="shared" ref="E3:E6" si="0">($H$2*0.25)/D3</f>
        <v>12.919896640826874</v>
      </c>
      <c r="F3" s="49">
        <f t="shared" ref="F3:F6" si="1">-E3*D3</f>
        <v>-2500</v>
      </c>
      <c r="G3" s="46">
        <f t="shared" ref="G3:G10" si="2">F3/$H$2</f>
        <v>-0.25</v>
      </c>
      <c r="H3" s="69">
        <f t="shared" ref="H3:H38" si="3">H2+F3</f>
        <v>7500</v>
      </c>
    </row>
    <row r="4" spans="1:9">
      <c r="A4" s="64">
        <v>44200</v>
      </c>
      <c r="B4" s="40" t="s">
        <v>144</v>
      </c>
      <c r="C4" s="40" t="s">
        <v>20</v>
      </c>
      <c r="D4" s="20">
        <v>413.34</v>
      </c>
      <c r="E4" s="49">
        <f t="shared" si="0"/>
        <v>6.0482895437170372</v>
      </c>
      <c r="F4" s="49">
        <f t="shared" si="1"/>
        <v>-2500</v>
      </c>
      <c r="G4" s="46">
        <f t="shared" si="2"/>
        <v>-0.25</v>
      </c>
      <c r="H4" s="69">
        <f t="shared" si="3"/>
        <v>5000</v>
      </c>
    </row>
    <row r="5" spans="1:9">
      <c r="A5" s="64">
        <v>44200</v>
      </c>
      <c r="B5" s="40" t="s">
        <v>144</v>
      </c>
      <c r="C5" s="40" t="s">
        <v>63</v>
      </c>
      <c r="D5" s="20">
        <v>71.03</v>
      </c>
      <c r="E5" s="49">
        <f t="shared" si="0"/>
        <v>35.196395889060959</v>
      </c>
      <c r="F5" s="49">
        <f t="shared" si="1"/>
        <v>-2500</v>
      </c>
      <c r="G5" s="46">
        <f t="shared" si="2"/>
        <v>-0.25</v>
      </c>
      <c r="H5" s="69">
        <f t="shared" si="3"/>
        <v>2500</v>
      </c>
    </row>
    <row r="6" spans="1:9">
      <c r="A6" s="64">
        <v>44200</v>
      </c>
      <c r="B6" s="40" t="s">
        <v>144</v>
      </c>
      <c r="C6" s="40" t="s">
        <v>64</v>
      </c>
      <c r="D6" s="20">
        <v>271.66000000000003</v>
      </c>
      <c r="E6" s="49">
        <f t="shared" si="0"/>
        <v>9.2026798203636897</v>
      </c>
      <c r="F6" s="49">
        <f t="shared" si="1"/>
        <v>-2500</v>
      </c>
      <c r="G6" s="46">
        <f t="shared" si="2"/>
        <v>-0.25</v>
      </c>
      <c r="H6" s="69">
        <f t="shared" si="3"/>
        <v>0</v>
      </c>
    </row>
    <row r="7" spans="1:9">
      <c r="A7" s="64">
        <v>44228</v>
      </c>
      <c r="B7" s="89" t="s">
        <v>145</v>
      </c>
      <c r="C7" s="40" t="s">
        <v>22</v>
      </c>
      <c r="D7" s="20">
        <v>210.61</v>
      </c>
      <c r="E7" s="49">
        <v>12.919896640826874</v>
      </c>
      <c r="F7" s="49">
        <f t="shared" ref="F7:F10" si="4">+E7*D7</f>
        <v>2721.059431524548</v>
      </c>
      <c r="G7" s="46">
        <f t="shared" si="2"/>
        <v>0.27210594315245479</v>
      </c>
      <c r="H7" s="69">
        <f t="shared" si="3"/>
        <v>2721.059431524548</v>
      </c>
    </row>
    <row r="8" spans="1:9">
      <c r="A8" s="64">
        <v>44228</v>
      </c>
      <c r="B8" s="89" t="s">
        <v>145</v>
      </c>
      <c r="C8" s="40" t="s">
        <v>20</v>
      </c>
      <c r="D8" s="20">
        <v>434.9</v>
      </c>
      <c r="E8" s="49">
        <v>6.0482895437170372</v>
      </c>
      <c r="F8" s="49">
        <f t="shared" si="4"/>
        <v>2630.4011225625395</v>
      </c>
      <c r="G8" s="46">
        <f t="shared" si="2"/>
        <v>0.26304011225625396</v>
      </c>
      <c r="H8" s="69">
        <f t="shared" si="3"/>
        <v>5351.4605540870871</v>
      </c>
    </row>
    <row r="9" spans="1:9">
      <c r="A9" s="64">
        <v>44228</v>
      </c>
      <c r="B9" s="89" t="s">
        <v>145</v>
      </c>
      <c r="C9" s="40" t="s">
        <v>63</v>
      </c>
      <c r="D9" s="20">
        <v>73.540000000000006</v>
      </c>
      <c r="E9" s="49">
        <v>35.196395889060959</v>
      </c>
      <c r="F9" s="49">
        <f t="shared" si="4"/>
        <v>2588.3429536815433</v>
      </c>
      <c r="G9" s="46">
        <f t="shared" si="2"/>
        <v>0.25883429536815433</v>
      </c>
      <c r="H9" s="69">
        <f t="shared" si="3"/>
        <v>7939.8035077686309</v>
      </c>
    </row>
    <row r="10" spans="1:9">
      <c r="A10" s="64">
        <v>44228</v>
      </c>
      <c r="B10" s="89" t="s">
        <v>145</v>
      </c>
      <c r="C10" s="40" t="s">
        <v>64</v>
      </c>
      <c r="D10" s="20">
        <v>288.69</v>
      </c>
      <c r="E10" s="49">
        <v>9.2026798203636897</v>
      </c>
      <c r="F10" s="49">
        <f t="shared" si="4"/>
        <v>2656.7216373407937</v>
      </c>
      <c r="G10" s="46">
        <f t="shared" si="2"/>
        <v>0.26567216373407937</v>
      </c>
      <c r="H10" s="90">
        <f t="shared" si="3"/>
        <v>10596.525145109425</v>
      </c>
      <c r="I10" s="91">
        <f>(H10-H2)/H2</f>
        <v>5.9652514510942459E-2</v>
      </c>
    </row>
    <row r="11" spans="1:9">
      <c r="A11" s="64">
        <v>44228</v>
      </c>
      <c r="B11" s="40" t="s">
        <v>144</v>
      </c>
      <c r="C11" s="40" t="s">
        <v>22</v>
      </c>
      <c r="D11" s="20">
        <v>210.61</v>
      </c>
      <c r="E11" s="49">
        <f t="shared" ref="E11:E14" si="5">($H$10*0.25)/D11</f>
        <v>12.578373706269199</v>
      </c>
      <c r="F11" s="49">
        <f t="shared" ref="F11:F14" si="6">-E11*D11</f>
        <v>-2649.1312862773561</v>
      </c>
      <c r="G11" s="46">
        <f t="shared" ref="G11:G18" si="7">F11/$H$10</f>
        <v>-0.25</v>
      </c>
      <c r="H11" s="69">
        <f t="shared" si="3"/>
        <v>7947.3938588320689</v>
      </c>
      <c r="I11" s="46"/>
    </row>
    <row r="12" spans="1:9">
      <c r="A12" s="64">
        <v>44228</v>
      </c>
      <c r="B12" s="40" t="s">
        <v>144</v>
      </c>
      <c r="C12" s="40" t="s">
        <v>20</v>
      </c>
      <c r="D12" s="20">
        <v>434.9</v>
      </c>
      <c r="E12" s="49">
        <f t="shared" si="5"/>
        <v>6.0913572919690875</v>
      </c>
      <c r="F12" s="49">
        <f t="shared" si="6"/>
        <v>-2649.1312862773561</v>
      </c>
      <c r="G12" s="46">
        <f t="shared" si="7"/>
        <v>-0.25</v>
      </c>
      <c r="H12" s="69">
        <f t="shared" si="3"/>
        <v>5298.2625725547132</v>
      </c>
      <c r="I12" s="46"/>
    </row>
    <row r="13" spans="1:9">
      <c r="A13" s="64">
        <v>44228</v>
      </c>
      <c r="B13" s="40" t="s">
        <v>144</v>
      </c>
      <c r="C13" s="40" t="s">
        <v>63</v>
      </c>
      <c r="D13" s="20">
        <v>73.540000000000006</v>
      </c>
      <c r="E13" s="49">
        <f t="shared" si="5"/>
        <v>36.022998181633888</v>
      </c>
      <c r="F13" s="49">
        <f t="shared" si="6"/>
        <v>-2649.1312862773561</v>
      </c>
      <c r="G13" s="46">
        <f t="shared" si="7"/>
        <v>-0.25</v>
      </c>
      <c r="H13" s="69">
        <f t="shared" si="3"/>
        <v>2649.131286277357</v>
      </c>
      <c r="I13" s="46"/>
    </row>
    <row r="14" spans="1:9">
      <c r="A14" s="64">
        <v>44228</v>
      </c>
      <c r="B14" s="40" t="s">
        <v>144</v>
      </c>
      <c r="C14" s="40" t="s">
        <v>64</v>
      </c>
      <c r="D14" s="20">
        <v>288.69</v>
      </c>
      <c r="E14" s="49">
        <f t="shared" si="5"/>
        <v>9.1763874269193817</v>
      </c>
      <c r="F14" s="49">
        <f t="shared" si="6"/>
        <v>-2649.1312862773561</v>
      </c>
      <c r="G14" s="46">
        <f t="shared" si="7"/>
        <v>-0.25</v>
      </c>
      <c r="H14" s="69">
        <f t="shared" si="3"/>
        <v>0</v>
      </c>
      <c r="I14" s="46"/>
    </row>
    <row r="15" spans="1:9">
      <c r="A15" s="64">
        <v>44256</v>
      </c>
      <c r="B15" s="89" t="s">
        <v>145</v>
      </c>
      <c r="C15" s="40" t="s">
        <v>22</v>
      </c>
      <c r="D15" s="20">
        <v>226.07</v>
      </c>
      <c r="E15" s="49">
        <v>12.578373706269199</v>
      </c>
      <c r="F15" s="49">
        <f t="shared" ref="F15:F18" si="8">+E15*D15</f>
        <v>2843.5929437762775</v>
      </c>
      <c r="G15" s="46">
        <f t="shared" si="7"/>
        <v>0.2683514552965196</v>
      </c>
      <c r="H15" s="69">
        <f t="shared" si="3"/>
        <v>2843.5929437762775</v>
      </c>
      <c r="I15" s="46"/>
    </row>
    <row r="16" spans="1:9">
      <c r="A16" s="64">
        <v>44256</v>
      </c>
      <c r="B16" s="89" t="s">
        <v>145</v>
      </c>
      <c r="C16" s="40" t="s">
        <v>20</v>
      </c>
      <c r="D16" s="20">
        <v>467.63</v>
      </c>
      <c r="E16" s="49">
        <v>6.0913572919690875</v>
      </c>
      <c r="F16" s="49">
        <f t="shared" si="8"/>
        <v>2848.5014104435045</v>
      </c>
      <c r="G16" s="46">
        <f t="shared" si="7"/>
        <v>0.26881467003908943</v>
      </c>
      <c r="H16" s="69">
        <f t="shared" si="3"/>
        <v>5692.094354219782</v>
      </c>
      <c r="I16" s="46"/>
    </row>
    <row r="17" spans="1:9">
      <c r="A17" s="64">
        <v>44256</v>
      </c>
      <c r="B17" s="89" t="s">
        <v>145</v>
      </c>
      <c r="C17" s="40" t="s">
        <v>63</v>
      </c>
      <c r="D17" s="20">
        <v>79.760000000000005</v>
      </c>
      <c r="E17" s="49">
        <v>36.022998181633888</v>
      </c>
      <c r="F17" s="49">
        <f t="shared" si="8"/>
        <v>2873.1943349671192</v>
      </c>
      <c r="G17" s="46">
        <f t="shared" si="7"/>
        <v>0.27114495512646181</v>
      </c>
      <c r="H17" s="69">
        <f t="shared" si="3"/>
        <v>8565.288689186902</v>
      </c>
      <c r="I17" s="46"/>
    </row>
    <row r="18" spans="1:9">
      <c r="A18" s="64">
        <v>44256</v>
      </c>
      <c r="B18" s="89" t="s">
        <v>145</v>
      </c>
      <c r="C18" s="40" t="s">
        <v>64</v>
      </c>
      <c r="D18" s="20">
        <v>291.04000000000002</v>
      </c>
      <c r="E18" s="49">
        <v>9.1763874269193817</v>
      </c>
      <c r="F18" s="49">
        <f t="shared" si="8"/>
        <v>2670.6957967306171</v>
      </c>
      <c r="G18" s="46">
        <f t="shared" si="7"/>
        <v>0.2520350549031834</v>
      </c>
      <c r="H18" s="90">
        <f t="shared" si="3"/>
        <v>11235.984485917519</v>
      </c>
      <c r="I18" s="91">
        <f>(H18-H10)/H10</f>
        <v>6.0346135365254322E-2</v>
      </c>
    </row>
    <row r="19" spans="1:9">
      <c r="A19" s="64">
        <v>44256</v>
      </c>
      <c r="B19" s="40" t="s">
        <v>144</v>
      </c>
      <c r="C19" s="40" t="s">
        <v>22</v>
      </c>
      <c r="D19" s="20">
        <v>226.07</v>
      </c>
      <c r="E19" s="49">
        <f t="shared" ref="E19:E22" si="9">($H$18*0.25)/D19</f>
        <v>12.425337822264696</v>
      </c>
      <c r="F19" s="49">
        <f t="shared" ref="F19:F22" si="10">-E19*D19</f>
        <v>-2808.9961214793798</v>
      </c>
      <c r="G19" s="46">
        <f t="shared" ref="G19:G26" si="11">F19/$H$18</f>
        <v>-0.25</v>
      </c>
      <c r="H19" s="69">
        <f t="shared" si="3"/>
        <v>8426.9883644381389</v>
      </c>
      <c r="I19" s="46"/>
    </row>
    <row r="20" spans="1:9">
      <c r="A20" s="64">
        <v>44256</v>
      </c>
      <c r="B20" s="40" t="s">
        <v>144</v>
      </c>
      <c r="C20" s="40" t="s">
        <v>20</v>
      </c>
      <c r="D20" s="20">
        <v>467.63</v>
      </c>
      <c r="E20" s="49">
        <f t="shared" si="9"/>
        <v>6.0068774917763612</v>
      </c>
      <c r="F20" s="49">
        <f t="shared" si="10"/>
        <v>-2808.9961214793798</v>
      </c>
      <c r="G20" s="46">
        <f t="shared" si="11"/>
        <v>-0.25</v>
      </c>
      <c r="H20" s="69">
        <f t="shared" si="3"/>
        <v>5617.9922429587587</v>
      </c>
      <c r="I20" s="46"/>
    </row>
    <row r="21" spans="1:9">
      <c r="A21" s="64">
        <v>44256</v>
      </c>
      <c r="B21" s="40" t="s">
        <v>144</v>
      </c>
      <c r="C21" s="40" t="s">
        <v>63</v>
      </c>
      <c r="D21" s="20">
        <v>79.760000000000005</v>
      </c>
      <c r="E21" s="49">
        <f t="shared" si="9"/>
        <v>35.218105836000248</v>
      </c>
      <c r="F21" s="49">
        <f t="shared" si="10"/>
        <v>-2808.9961214793798</v>
      </c>
      <c r="G21" s="46">
        <f t="shared" si="11"/>
        <v>-0.25</v>
      </c>
      <c r="H21" s="69">
        <f t="shared" si="3"/>
        <v>2808.9961214793789</v>
      </c>
      <c r="I21" s="46"/>
    </row>
    <row r="22" spans="1:9">
      <c r="A22" s="64">
        <v>44256</v>
      </c>
      <c r="B22" s="40" t="s">
        <v>144</v>
      </c>
      <c r="C22" s="40" t="s">
        <v>65</v>
      </c>
      <c r="D22" s="20">
        <v>82.64</v>
      </c>
      <c r="E22" s="49">
        <f t="shared" si="9"/>
        <v>33.99075655226742</v>
      </c>
      <c r="F22" s="49">
        <f t="shared" si="10"/>
        <v>-2808.9961214793798</v>
      </c>
      <c r="G22" s="46">
        <f t="shared" si="11"/>
        <v>-0.25</v>
      </c>
      <c r="H22" s="69">
        <f t="shared" si="3"/>
        <v>0</v>
      </c>
      <c r="I22" s="46"/>
    </row>
    <row r="23" spans="1:9">
      <c r="A23" s="64">
        <v>44287</v>
      </c>
      <c r="B23" s="89" t="s">
        <v>145</v>
      </c>
      <c r="C23" s="40" t="s">
        <v>22</v>
      </c>
      <c r="D23" s="20">
        <v>223.74</v>
      </c>
      <c r="E23" s="49">
        <v>12.425337822264696</v>
      </c>
      <c r="F23" s="49">
        <f t="shared" ref="F23:F26" si="12">+E23*D23</f>
        <v>2780.0450843535032</v>
      </c>
      <c r="G23" s="46">
        <f t="shared" si="11"/>
        <v>0.24742336444464105</v>
      </c>
      <c r="H23" s="69">
        <f t="shared" si="3"/>
        <v>2780.0450843535032</v>
      </c>
      <c r="I23" s="46"/>
    </row>
    <row r="24" spans="1:9">
      <c r="A24" s="64">
        <v>44287</v>
      </c>
      <c r="B24" s="89" t="s">
        <v>145</v>
      </c>
      <c r="C24" s="40" t="s">
        <v>20</v>
      </c>
      <c r="D24" s="20">
        <v>482.3</v>
      </c>
      <c r="E24" s="49">
        <v>6.0068774917763612</v>
      </c>
      <c r="F24" s="49">
        <f t="shared" si="12"/>
        <v>2897.1170142837391</v>
      </c>
      <c r="G24" s="46">
        <f t="shared" si="11"/>
        <v>0.25784273891752024</v>
      </c>
      <c r="H24" s="69">
        <f t="shared" si="3"/>
        <v>5677.1620986372418</v>
      </c>
      <c r="I24" s="46"/>
    </row>
    <row r="25" spans="1:9">
      <c r="A25" s="64">
        <v>44287</v>
      </c>
      <c r="B25" s="89" t="s">
        <v>145</v>
      </c>
      <c r="C25" s="40" t="s">
        <v>63</v>
      </c>
      <c r="D25" s="20">
        <v>82.42</v>
      </c>
      <c r="E25" s="49">
        <v>35.218105836000248</v>
      </c>
      <c r="F25" s="49">
        <f t="shared" si="12"/>
        <v>2902.6762830031407</v>
      </c>
      <c r="G25" s="46">
        <f t="shared" si="11"/>
        <v>0.25833751253761289</v>
      </c>
      <c r="H25" s="69">
        <f t="shared" si="3"/>
        <v>8579.8383816403821</v>
      </c>
      <c r="I25" s="46"/>
    </row>
    <row r="26" spans="1:9">
      <c r="A26" s="64">
        <v>44287</v>
      </c>
      <c r="B26" s="89" t="s">
        <v>145</v>
      </c>
      <c r="C26" s="40" t="s">
        <v>65</v>
      </c>
      <c r="D26" s="20">
        <v>85.53</v>
      </c>
      <c r="E26" s="49">
        <v>33.99075655226742</v>
      </c>
      <c r="F26" s="49">
        <f t="shared" si="12"/>
        <v>2907.2294079154326</v>
      </c>
      <c r="G26" s="46">
        <f t="shared" si="11"/>
        <v>0.2587427395934172</v>
      </c>
      <c r="H26" s="69">
        <f t="shared" si="3"/>
        <v>11487.067789555815</v>
      </c>
      <c r="I26" s="91">
        <f>(H26-H18)/H18</f>
        <v>2.2346355493191333E-2</v>
      </c>
    </row>
    <row r="27" spans="1:9">
      <c r="A27" s="64">
        <v>44287</v>
      </c>
      <c r="B27" s="40" t="s">
        <v>144</v>
      </c>
      <c r="C27" s="40" t="s">
        <v>20</v>
      </c>
      <c r="D27" s="20">
        <v>482.3</v>
      </c>
      <c r="E27" s="49">
        <f t="shared" ref="E27:E30" si="13">($H$26*0.25)/D27</f>
        <v>5.9543167061765576</v>
      </c>
      <c r="F27" s="49">
        <f t="shared" ref="F27:F30" si="14">-E27*D27</f>
        <v>-2871.7669473889537</v>
      </c>
      <c r="G27" s="46">
        <f t="shared" ref="G27:G34" si="15">F27/$H$26</f>
        <v>-0.25</v>
      </c>
      <c r="H27" s="69">
        <f t="shared" si="3"/>
        <v>8615.3008421668601</v>
      </c>
      <c r="I27" s="46"/>
    </row>
    <row r="28" spans="1:9">
      <c r="A28" s="64">
        <v>44287</v>
      </c>
      <c r="B28" s="40" t="s">
        <v>144</v>
      </c>
      <c r="C28" s="40" t="s">
        <v>63</v>
      </c>
      <c r="D28" s="20">
        <v>82.42</v>
      </c>
      <c r="E28" s="49">
        <f t="shared" si="13"/>
        <v>34.843083564534744</v>
      </c>
      <c r="F28" s="49">
        <f t="shared" si="14"/>
        <v>-2871.7669473889537</v>
      </c>
      <c r="G28" s="46">
        <f t="shared" si="15"/>
        <v>-0.25</v>
      </c>
      <c r="H28" s="69">
        <f t="shared" si="3"/>
        <v>5743.5338947779064</v>
      </c>
      <c r="I28" s="46"/>
    </row>
    <row r="29" spans="1:9">
      <c r="A29" s="64">
        <v>44287</v>
      </c>
      <c r="B29" s="40" t="s">
        <v>144</v>
      </c>
      <c r="C29" s="40" t="s">
        <v>64</v>
      </c>
      <c r="D29" s="20">
        <v>298.16000000000003</v>
      </c>
      <c r="E29" s="49">
        <f t="shared" si="13"/>
        <v>9.6316304916452697</v>
      </c>
      <c r="F29" s="49">
        <f t="shared" si="14"/>
        <v>-2871.7669473889537</v>
      </c>
      <c r="G29" s="46">
        <f t="shared" si="15"/>
        <v>-0.25</v>
      </c>
      <c r="H29" s="69">
        <f t="shared" si="3"/>
        <v>2871.7669473889528</v>
      </c>
    </row>
    <row r="30" spans="1:9">
      <c r="A30" s="64">
        <v>44287</v>
      </c>
      <c r="B30" s="40" t="s">
        <v>144</v>
      </c>
      <c r="C30" s="40" t="s">
        <v>65</v>
      </c>
      <c r="D30" s="20">
        <v>85.53</v>
      </c>
      <c r="E30" s="49">
        <f t="shared" si="13"/>
        <v>33.57613641282537</v>
      </c>
      <c r="F30" s="49">
        <f t="shared" si="14"/>
        <v>-2871.7669473889541</v>
      </c>
      <c r="G30" s="46">
        <f t="shared" si="15"/>
        <v>-0.25000000000000006</v>
      </c>
      <c r="H30" s="69">
        <f t="shared" si="3"/>
        <v>0</v>
      </c>
    </row>
    <row r="31" spans="1:9">
      <c r="A31" s="64">
        <v>44319</v>
      </c>
      <c r="B31" s="89" t="s">
        <v>145</v>
      </c>
      <c r="C31" s="92" t="s">
        <v>20</v>
      </c>
      <c r="D31" s="93">
        <v>499.54</v>
      </c>
      <c r="E31" s="48">
        <v>5.9543167061765576</v>
      </c>
      <c r="F31" s="49">
        <f t="shared" ref="F31:F34" si="16">+E31*D31</f>
        <v>2974.4193674034377</v>
      </c>
      <c r="G31" s="46">
        <f t="shared" si="15"/>
        <v>0.25893634667219573</v>
      </c>
      <c r="H31" s="69">
        <f t="shared" si="3"/>
        <v>2974.4193674034377</v>
      </c>
    </row>
    <row r="32" spans="1:9">
      <c r="A32" s="64">
        <v>44319</v>
      </c>
      <c r="B32" s="89" t="s">
        <v>145</v>
      </c>
      <c r="C32" s="92" t="s">
        <v>63</v>
      </c>
      <c r="D32" s="93">
        <v>85.74</v>
      </c>
      <c r="E32" s="48">
        <v>34.843083564534744</v>
      </c>
      <c r="F32" s="49">
        <f t="shared" si="16"/>
        <v>2987.4459848232086</v>
      </c>
      <c r="G32" s="46">
        <f t="shared" si="15"/>
        <v>0.26007037126910942</v>
      </c>
      <c r="H32" s="69">
        <f t="shared" si="3"/>
        <v>5961.8653522266468</v>
      </c>
    </row>
    <row r="33" spans="1:9">
      <c r="A33" s="64">
        <v>44319</v>
      </c>
      <c r="B33" s="89" t="s">
        <v>145</v>
      </c>
      <c r="C33" s="92" t="s">
        <v>64</v>
      </c>
      <c r="D33" s="93">
        <v>313.25</v>
      </c>
      <c r="E33" s="48">
        <v>9.6316304916452697</v>
      </c>
      <c r="F33" s="49">
        <f t="shared" si="16"/>
        <v>3017.1082515078806</v>
      </c>
      <c r="G33" s="46">
        <f t="shared" si="15"/>
        <v>0.26265260262946066</v>
      </c>
      <c r="H33" s="69">
        <f t="shared" si="3"/>
        <v>8978.9736037345283</v>
      </c>
    </row>
    <row r="34" spans="1:9">
      <c r="A34" s="64">
        <v>44319</v>
      </c>
      <c r="B34" s="89" t="s">
        <v>145</v>
      </c>
      <c r="C34" s="92" t="s">
        <v>65</v>
      </c>
      <c r="D34" s="93">
        <v>90.24</v>
      </c>
      <c r="E34" s="48">
        <v>33.57613641282537</v>
      </c>
      <c r="F34" s="49">
        <f t="shared" si="16"/>
        <v>3029.9105498933613</v>
      </c>
      <c r="G34" s="46">
        <f t="shared" si="15"/>
        <v>0.26376709926341635</v>
      </c>
      <c r="H34" s="69">
        <f t="shared" si="3"/>
        <v>12008.884153627889</v>
      </c>
      <c r="I34" s="91">
        <f>(H34-H26)/H26</f>
        <v>4.5426419834182226E-2</v>
      </c>
    </row>
    <row r="35" spans="1:9">
      <c r="A35" s="64">
        <v>44319</v>
      </c>
      <c r="B35" s="40" t="s">
        <v>144</v>
      </c>
      <c r="C35" s="40" t="s">
        <v>63</v>
      </c>
      <c r="D35" s="20">
        <v>85.74</v>
      </c>
      <c r="E35" s="49">
        <f t="shared" ref="E35:E38" si="17">($H$34*0.25)/D35</f>
        <v>35.015407492500259</v>
      </c>
      <c r="F35" s="49">
        <f t="shared" ref="F35:F38" si="18">-E35*D35</f>
        <v>-3002.2210384069722</v>
      </c>
      <c r="G35" s="46">
        <f t="shared" ref="G35:G38" si="19">F35/$H$34</f>
        <v>-0.25</v>
      </c>
      <c r="H35" s="69">
        <f t="shared" si="3"/>
        <v>9006.6631152209156</v>
      </c>
    </row>
    <row r="36" spans="1:9">
      <c r="A36" s="64">
        <v>44319</v>
      </c>
      <c r="B36" s="40" t="s">
        <v>144</v>
      </c>
      <c r="C36" s="40" t="s">
        <v>64</v>
      </c>
      <c r="D36" s="20">
        <v>313.25</v>
      </c>
      <c r="E36" s="49">
        <f t="shared" si="17"/>
        <v>9.5841054697748511</v>
      </c>
      <c r="F36" s="49">
        <f t="shared" si="18"/>
        <v>-3002.2210384069722</v>
      </c>
      <c r="G36" s="46">
        <f t="shared" si="19"/>
        <v>-0.25</v>
      </c>
      <c r="H36" s="69">
        <f t="shared" si="3"/>
        <v>6004.4420768139435</v>
      </c>
    </row>
    <row r="37" spans="1:9">
      <c r="A37" s="64">
        <v>44319</v>
      </c>
      <c r="B37" s="40" t="s">
        <v>144</v>
      </c>
      <c r="C37" s="40" t="s">
        <v>65</v>
      </c>
      <c r="D37" s="20">
        <v>90.24</v>
      </c>
      <c r="E37" s="49">
        <f t="shared" si="17"/>
        <v>33.269293422063079</v>
      </c>
      <c r="F37" s="49">
        <f t="shared" si="18"/>
        <v>-3002.2210384069722</v>
      </c>
      <c r="G37" s="46">
        <f t="shared" si="19"/>
        <v>-0.25</v>
      </c>
      <c r="H37" s="69">
        <f t="shared" si="3"/>
        <v>3002.2210384069713</v>
      </c>
    </row>
    <row r="38" spans="1:9">
      <c r="A38" s="64">
        <v>44319</v>
      </c>
      <c r="B38" s="40" t="s">
        <v>144</v>
      </c>
      <c r="C38" s="40" t="s">
        <v>66</v>
      </c>
      <c r="D38" s="20">
        <v>239.86</v>
      </c>
      <c r="E38" s="49">
        <f t="shared" si="17"/>
        <v>12.516555650825365</v>
      </c>
      <c r="F38" s="49">
        <f t="shared" si="18"/>
        <v>-3002.2210384069722</v>
      </c>
      <c r="G38" s="46">
        <f t="shared" si="19"/>
        <v>-0.25</v>
      </c>
      <c r="H38" s="69">
        <f t="shared" si="3"/>
        <v>0</v>
      </c>
    </row>
    <row r="39" spans="1:9">
      <c r="A39" s="64"/>
      <c r="B39" s="40"/>
      <c r="C39" s="35"/>
      <c r="D39" s="40"/>
      <c r="E39" s="48"/>
      <c r="F39" s="49"/>
      <c r="G39" s="46"/>
      <c r="H39" s="69"/>
    </row>
    <row r="40" spans="1:9">
      <c r="A40" s="64"/>
      <c r="B40" s="40"/>
      <c r="C40" s="35"/>
      <c r="D40" s="40"/>
      <c r="E40" s="48"/>
      <c r="F40" s="49"/>
      <c r="G40" s="46"/>
      <c r="H40" s="90"/>
    </row>
    <row r="41" spans="1:9">
      <c r="A41" s="64"/>
      <c r="B41" s="40"/>
      <c r="C41" s="44"/>
      <c r="D41" s="20"/>
      <c r="E41" s="49"/>
      <c r="F41" s="49"/>
      <c r="G41" s="46"/>
      <c r="H41" s="69"/>
    </row>
    <row r="42" spans="1:9">
      <c r="A42" s="64"/>
      <c r="B42" s="40"/>
      <c r="C42" s="44"/>
      <c r="D42" s="20"/>
      <c r="E42" s="49"/>
      <c r="F42" s="49"/>
      <c r="G42" s="46"/>
      <c r="H42" s="69"/>
    </row>
    <row r="43" spans="1:9">
      <c r="A43" s="64"/>
      <c r="B43" s="40"/>
      <c r="C43" s="44"/>
      <c r="D43" s="20"/>
      <c r="E43" s="49"/>
      <c r="F43" s="49"/>
      <c r="G43" s="46"/>
      <c r="H43" s="69"/>
    </row>
    <row r="44" spans="1:9">
      <c r="A44" s="64"/>
      <c r="B44" s="40"/>
      <c r="C44" s="44"/>
      <c r="D44" s="20"/>
      <c r="E44" s="49"/>
      <c r="F44" s="49"/>
      <c r="G44" s="46"/>
      <c r="H44" s="69"/>
    </row>
    <row r="45" spans="1:9">
      <c r="A45" s="64"/>
      <c r="B45" s="40"/>
      <c r="C45" s="44"/>
      <c r="D45" s="20"/>
      <c r="E45" s="49"/>
      <c r="F45" s="49"/>
      <c r="G45" s="46"/>
      <c r="H45" s="69"/>
    </row>
    <row r="46" spans="1:9">
      <c r="A46" s="64"/>
      <c r="B46" s="40"/>
      <c r="C46" s="44"/>
      <c r="D46" s="20"/>
      <c r="E46" s="49"/>
      <c r="F46" s="49"/>
      <c r="G46" s="46"/>
      <c r="H46" s="69"/>
    </row>
    <row r="47" spans="1:9">
      <c r="A47" s="64"/>
      <c r="B47" s="40"/>
      <c r="C47" s="44"/>
      <c r="D47" s="20"/>
      <c r="E47" s="49"/>
      <c r="F47" s="49"/>
      <c r="G47" s="46"/>
      <c r="H47" s="69"/>
    </row>
    <row r="48" spans="1:9">
      <c r="A48" s="64"/>
      <c r="B48" s="40"/>
      <c r="C48" s="44"/>
      <c r="D48" s="20"/>
      <c r="E48" s="49"/>
      <c r="F48" s="49"/>
      <c r="G48" s="46"/>
      <c r="H48" s="69"/>
    </row>
    <row r="49" spans="1:8">
      <c r="A49" s="64"/>
      <c r="B49" s="40"/>
      <c r="C49" s="44"/>
      <c r="D49" s="20"/>
      <c r="E49" s="49"/>
      <c r="F49" s="49"/>
      <c r="G49" s="46"/>
      <c r="H49" s="69"/>
    </row>
    <row r="50" spans="1:8">
      <c r="A50" s="64"/>
      <c r="B50" s="40"/>
      <c r="C50" s="44"/>
      <c r="D50" s="20"/>
      <c r="E50" s="49"/>
      <c r="F50" s="49"/>
      <c r="G50" s="46"/>
      <c r="H50" s="69"/>
    </row>
    <row r="51" spans="1:8">
      <c r="A51" s="64"/>
      <c r="B51" s="40"/>
      <c r="C51" s="44"/>
      <c r="D51" s="20"/>
      <c r="E51" s="49"/>
      <c r="F51" s="49"/>
      <c r="G51" s="46"/>
      <c r="H51" s="69"/>
    </row>
    <row r="52" spans="1:8">
      <c r="A52" s="64"/>
      <c r="B52" s="40"/>
      <c r="C52" s="44"/>
      <c r="D52" s="20"/>
      <c r="E52" s="49"/>
      <c r="F52" s="49"/>
      <c r="G52" s="46"/>
      <c r="H52" s="69"/>
    </row>
    <row r="53" spans="1:8">
      <c r="A53" s="64"/>
      <c r="B53" s="40"/>
      <c r="C53" s="44"/>
      <c r="D53" s="20"/>
      <c r="E53" s="49"/>
      <c r="F53" s="49"/>
      <c r="G53" s="46"/>
      <c r="H53" s="69"/>
    </row>
    <row r="54" spans="1:8">
      <c r="A54" s="64"/>
      <c r="B54" s="40"/>
      <c r="C54" s="44"/>
      <c r="D54" s="20"/>
      <c r="E54" s="49"/>
      <c r="F54" s="49"/>
      <c r="G54" s="46"/>
      <c r="H54" s="69"/>
    </row>
    <row r="55" spans="1:8">
      <c r="A55" s="64"/>
      <c r="B55" s="40"/>
      <c r="C55" s="44"/>
      <c r="D55" s="20"/>
      <c r="E55" s="49"/>
      <c r="F55" s="49"/>
      <c r="G55" s="46"/>
      <c r="H55" s="69"/>
    </row>
    <row r="56" spans="1:8">
      <c r="A56" s="64"/>
      <c r="B56" s="40"/>
      <c r="C56" s="44"/>
      <c r="D56" s="20"/>
      <c r="E56" s="49"/>
      <c r="F56" s="49"/>
      <c r="G56" s="46"/>
      <c r="H56" s="69"/>
    </row>
    <row r="57" spans="1:8">
      <c r="A57" s="64"/>
      <c r="B57" s="40"/>
      <c r="C57" s="44"/>
      <c r="D57" s="20"/>
      <c r="E57" s="49"/>
      <c r="F57" s="49"/>
      <c r="G57" s="46"/>
      <c r="H57" s="69"/>
    </row>
    <row r="58" spans="1:8">
      <c r="A58" s="64"/>
      <c r="B58" s="40"/>
      <c r="C58" s="44"/>
      <c r="D58" s="20"/>
      <c r="E58" s="49"/>
      <c r="F58" s="49"/>
      <c r="G58" s="46"/>
      <c r="H58" s="69"/>
    </row>
    <row r="59" spans="1:8">
      <c r="A59" s="64"/>
      <c r="B59" s="40"/>
      <c r="C59" s="44"/>
      <c r="D59" s="20"/>
      <c r="E59" s="49"/>
      <c r="F59" s="49"/>
      <c r="G59" s="46"/>
      <c r="H59" s="69"/>
    </row>
    <row r="60" spans="1:8">
      <c r="A60" s="64"/>
      <c r="B60" s="40"/>
      <c r="C60" s="44"/>
      <c r="D60" s="20"/>
      <c r="E60" s="49"/>
      <c r="F60" s="49"/>
      <c r="G60" s="46"/>
      <c r="H60" s="6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FFFF"/>
    <outlinePr summaryBelow="0" summaryRight="0"/>
  </sheetPr>
  <dimension ref="A1:W1047"/>
  <sheetViews>
    <sheetView tabSelected="1" workbookViewId="0">
      <selection activeCell="G24" sqref="G24"/>
    </sheetView>
  </sheetViews>
  <sheetFormatPr defaultColWidth="14.42578125" defaultRowHeight="15.75" customHeight="1"/>
  <cols>
    <col min="1" max="1" width="16.42578125" customWidth="1"/>
    <col min="2" max="2" width="17.140625" customWidth="1"/>
    <col min="4" max="4" width="15.5703125" customWidth="1"/>
    <col min="5" max="5" width="16.140625" customWidth="1"/>
    <col min="6" max="7" width="21.85546875" customWidth="1"/>
    <col min="8" max="8" width="21.28515625" customWidth="1"/>
    <col min="9" max="9" width="6.5703125" customWidth="1"/>
  </cols>
  <sheetData>
    <row r="1" spans="1:23" ht="12.75">
      <c r="A1" s="35"/>
      <c r="B1" s="35"/>
      <c r="C1" s="20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</row>
    <row r="2" spans="1:23" ht="12.75">
      <c r="A2" s="36"/>
      <c r="B2" s="37"/>
      <c r="C2" s="38"/>
      <c r="D2" s="37"/>
      <c r="E2" s="35"/>
      <c r="G2" s="37"/>
      <c r="H2" s="36"/>
      <c r="I2" s="37"/>
      <c r="J2" s="37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</row>
    <row r="3" spans="1:23" ht="12.75">
      <c r="A3" s="36"/>
      <c r="B3" s="37"/>
      <c r="C3" s="38"/>
      <c r="E3" s="35"/>
      <c r="F3" s="36"/>
      <c r="G3" s="36"/>
      <c r="H3" s="36"/>
      <c r="I3" s="37"/>
      <c r="J3" s="37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</row>
    <row r="4" spans="1:23" ht="12.75">
      <c r="A4" s="36"/>
      <c r="C4" s="39"/>
      <c r="D4" s="40"/>
      <c r="E4" s="35"/>
      <c r="F4" s="40"/>
      <c r="G4" s="40"/>
      <c r="H4" s="40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</row>
    <row r="5" spans="1:23" ht="12.75">
      <c r="B5" s="35"/>
      <c r="C5" s="36"/>
      <c r="D5" s="40"/>
      <c r="E5" s="35"/>
      <c r="F5" s="40"/>
      <c r="G5" s="40"/>
      <c r="H5" s="40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</row>
    <row r="6" spans="1:23" ht="12.75">
      <c r="B6" s="35"/>
      <c r="C6" s="36"/>
      <c r="D6" s="40"/>
      <c r="E6" s="35"/>
      <c r="F6" s="40"/>
      <c r="G6" s="40"/>
      <c r="H6" s="40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</row>
    <row r="7" spans="1:23" ht="12.75">
      <c r="B7" s="35"/>
      <c r="C7" s="36"/>
      <c r="D7" s="40"/>
      <c r="E7" s="35"/>
      <c r="F7" s="40"/>
      <c r="G7" s="40"/>
      <c r="H7" s="40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</row>
    <row r="8" spans="1:23" ht="12.75">
      <c r="B8" s="35"/>
      <c r="C8" s="36"/>
      <c r="D8" s="40"/>
      <c r="E8" s="35"/>
      <c r="F8" s="40"/>
      <c r="G8" s="40"/>
      <c r="H8" s="40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</row>
    <row r="9" spans="1:23" ht="12.75">
      <c r="B9" s="35"/>
      <c r="C9" s="36"/>
      <c r="D9" s="40"/>
      <c r="E9" s="35"/>
      <c r="F9" s="40"/>
      <c r="G9" s="40"/>
      <c r="H9" s="40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</row>
    <row r="10" spans="1:23" ht="12.75">
      <c r="B10" s="35"/>
      <c r="C10" s="36"/>
      <c r="D10" s="40"/>
      <c r="E10" s="35"/>
      <c r="F10" s="40"/>
      <c r="G10" s="40"/>
      <c r="H10" s="40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</row>
    <row r="11" spans="1:23" ht="12.75">
      <c r="B11" s="35"/>
      <c r="C11" s="36"/>
      <c r="D11" s="40"/>
      <c r="E11" s="35"/>
      <c r="F11" s="40"/>
      <c r="G11" s="40"/>
      <c r="H11" s="40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</row>
    <row r="12" spans="1:23" ht="12.75">
      <c r="B12" s="35"/>
      <c r="C12" s="36"/>
      <c r="D12" s="40"/>
      <c r="E12" s="35"/>
      <c r="F12" s="40"/>
      <c r="G12" s="40"/>
      <c r="H12" s="40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</row>
    <row r="13" spans="1:23" ht="12.75">
      <c r="B13" s="35"/>
      <c r="C13" s="41">
        <f>H74</f>
        <v>0</v>
      </c>
      <c r="D13" s="40"/>
      <c r="E13" s="35"/>
      <c r="F13" s="40"/>
      <c r="G13" s="40"/>
      <c r="H13" s="40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</row>
    <row r="14" spans="1:23" ht="12.75">
      <c r="A14" s="42"/>
      <c r="B14" s="42"/>
      <c r="C14" s="42"/>
      <c r="D14" s="42"/>
      <c r="E14" s="42"/>
      <c r="F14" s="42"/>
      <c r="G14" s="42"/>
      <c r="H14" s="42"/>
      <c r="I14" s="37"/>
      <c r="J14" s="42"/>
      <c r="K14" s="40"/>
      <c r="L14" s="40"/>
      <c r="M14" s="40"/>
      <c r="N14" s="40"/>
      <c r="O14" s="40"/>
      <c r="P14" s="43"/>
      <c r="Q14" s="43"/>
      <c r="R14" s="43"/>
      <c r="S14" s="40"/>
      <c r="T14" s="40"/>
      <c r="U14" s="40"/>
      <c r="V14" s="40"/>
      <c r="W14" s="40"/>
    </row>
    <row r="15" spans="1:23" ht="12.75">
      <c r="A15" s="42"/>
      <c r="B15" s="42"/>
      <c r="C15" s="42"/>
      <c r="D15" s="42"/>
      <c r="E15" s="42"/>
      <c r="F15" s="42"/>
      <c r="G15" s="42"/>
      <c r="H15" s="42"/>
      <c r="I15" s="37"/>
      <c r="J15" s="42"/>
      <c r="K15" s="40"/>
      <c r="L15" s="40"/>
      <c r="M15" s="40"/>
      <c r="N15" s="40"/>
      <c r="O15" s="40"/>
      <c r="P15" s="43"/>
      <c r="Q15" s="43"/>
      <c r="R15" s="43"/>
      <c r="S15" s="40"/>
      <c r="T15" s="40"/>
      <c r="U15" s="40"/>
      <c r="V15" s="40"/>
      <c r="W15" s="40"/>
    </row>
    <row r="16" spans="1:23" ht="12.75">
      <c r="A16" s="42"/>
      <c r="B16" s="42"/>
      <c r="C16" s="42"/>
      <c r="D16" s="42"/>
      <c r="E16" s="42"/>
      <c r="F16" s="42"/>
      <c r="G16" s="42"/>
      <c r="H16" s="42"/>
      <c r="I16" s="37"/>
      <c r="J16" s="42"/>
      <c r="K16" s="40"/>
      <c r="L16" s="40"/>
      <c r="M16" s="40"/>
      <c r="N16" s="40"/>
      <c r="O16" s="40"/>
      <c r="P16" s="43"/>
      <c r="Q16" s="43"/>
      <c r="R16" s="43"/>
      <c r="S16" s="40"/>
      <c r="T16" s="40"/>
      <c r="U16" s="40"/>
      <c r="V16" s="40"/>
      <c r="W16" s="40"/>
    </row>
    <row r="17" spans="1:23" ht="12.75">
      <c r="A17" s="42"/>
      <c r="B17" s="42"/>
      <c r="C17" s="42"/>
      <c r="D17" s="42"/>
      <c r="E17" s="42"/>
      <c r="F17" s="42"/>
      <c r="G17" s="42"/>
      <c r="H17" s="42"/>
      <c r="I17" s="37"/>
      <c r="J17" s="42"/>
      <c r="K17" s="40"/>
      <c r="L17" s="40"/>
      <c r="M17" s="40"/>
      <c r="N17" s="40"/>
      <c r="O17" s="40"/>
      <c r="P17" s="43"/>
      <c r="Q17" s="43"/>
      <c r="R17" s="43"/>
      <c r="S17" s="40"/>
      <c r="T17" s="40"/>
      <c r="U17" s="40"/>
      <c r="V17" s="40"/>
      <c r="W17" s="40"/>
    </row>
    <row r="18" spans="1:23" ht="12.75">
      <c r="A18" s="42"/>
      <c r="B18" s="42"/>
      <c r="C18" s="42"/>
      <c r="D18" s="42"/>
      <c r="E18" s="42"/>
      <c r="F18" s="42"/>
      <c r="G18" s="42"/>
      <c r="H18" s="42"/>
      <c r="I18" s="37"/>
      <c r="J18" s="42"/>
      <c r="K18" s="40"/>
      <c r="L18" s="40"/>
      <c r="M18" s="40"/>
      <c r="N18" s="40"/>
      <c r="O18" s="40"/>
      <c r="P18" s="43"/>
      <c r="Q18" s="43"/>
      <c r="R18" s="43"/>
      <c r="S18" s="40"/>
      <c r="T18" s="40"/>
      <c r="U18" s="40"/>
      <c r="V18" s="40"/>
      <c r="W18" s="40"/>
    </row>
    <row r="19" spans="1:23" ht="12.75">
      <c r="A19" s="42"/>
      <c r="B19" s="42"/>
      <c r="C19" s="42"/>
      <c r="D19" s="42"/>
      <c r="E19" s="42"/>
      <c r="F19" s="42"/>
      <c r="G19" s="42"/>
      <c r="H19" s="42"/>
      <c r="I19" s="37"/>
      <c r="J19" s="42"/>
      <c r="K19" s="40"/>
      <c r="L19" s="40"/>
      <c r="M19" s="40"/>
      <c r="N19" s="40"/>
      <c r="O19" s="40"/>
      <c r="P19" s="43"/>
      <c r="Q19" s="43"/>
      <c r="R19" s="43"/>
      <c r="S19" s="40"/>
      <c r="T19" s="40"/>
      <c r="U19" s="40"/>
      <c r="V19" s="40"/>
      <c r="W19" s="40"/>
    </row>
    <row r="20" spans="1:23" ht="12.75">
      <c r="A20" s="44"/>
      <c r="B20" s="45"/>
      <c r="C20" s="20"/>
      <c r="D20" s="21"/>
      <c r="E20" s="23"/>
      <c r="F20" s="23"/>
      <c r="G20" s="23"/>
      <c r="H20" s="23"/>
      <c r="I20" s="35"/>
      <c r="J20" s="50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</row>
    <row r="21" spans="1:23" ht="12.75">
      <c r="A21" s="20"/>
      <c r="B21" s="21"/>
      <c r="C21" s="22" t="s">
        <v>35</v>
      </c>
      <c r="D21" s="22" t="s">
        <v>36</v>
      </c>
      <c r="E21" s="22" t="s">
        <v>37</v>
      </c>
      <c r="F21" s="22" t="s">
        <v>38</v>
      </c>
      <c r="I21" s="35"/>
      <c r="J21" s="50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</row>
    <row r="22" spans="1:23" ht="12.75">
      <c r="A22" s="127" t="s">
        <v>3</v>
      </c>
      <c r="B22" s="126"/>
      <c r="C22" s="98">
        <f>'Quant 6040 Stats'!L22</f>
        <v>0.21564176148274589</v>
      </c>
      <c r="D22" s="98">
        <f>'Quant 6040 Stats'!M22</f>
        <v>0.28904707360811999</v>
      </c>
      <c r="E22" s="98">
        <f>'Quant 6040 Stats'!N22</f>
        <v>0.93375905027554318</v>
      </c>
      <c r="F22" s="98">
        <f>'Quant 6040 Stats'!O22</f>
        <v>1.346236389847373</v>
      </c>
      <c r="I22" s="35"/>
      <c r="J22" s="50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</row>
    <row r="23" spans="1:23" ht="12.75">
      <c r="A23" s="127" t="s">
        <v>39</v>
      </c>
      <c r="B23" s="126"/>
      <c r="C23" s="98">
        <f>'Quant 6040 Stats'!L23</f>
        <v>4.4900508367269151E-2</v>
      </c>
      <c r="D23" s="98">
        <f>'Quant 6040 Stats'!M23</f>
        <v>7.4281020861540037E-2</v>
      </c>
      <c r="E23" s="98">
        <f>'Quant 6040 Stats'!N23</f>
        <v>0.33049972264295369</v>
      </c>
      <c r="F23" s="98">
        <f>'Quant 6040 Stats'!O23</f>
        <v>0.5430372748862442</v>
      </c>
      <c r="I23" s="35"/>
      <c r="J23" s="50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</row>
    <row r="24" spans="1:23" ht="12.75">
      <c r="A24" s="127" t="s">
        <v>4</v>
      </c>
      <c r="B24" s="126"/>
      <c r="C24" s="98">
        <f>'Quant 6040 Stats'!L24</f>
        <v>0.159160388866768</v>
      </c>
      <c r="D24" s="98">
        <f>'Quant 6040 Stats'!M24</f>
        <v>0.25115869150003872</v>
      </c>
      <c r="E24" s="98">
        <f>'Quant 6040 Stats'!N24</f>
        <v>0.56656026359576006</v>
      </c>
      <c r="F24" s="98">
        <f>'Quant 6040 Stats'!O24</f>
        <v>1.1749100022986758</v>
      </c>
      <c r="I24" s="35"/>
      <c r="J24" s="50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</row>
    <row r="25" spans="1:23" s="123" customFormat="1" ht="12.75">
      <c r="A25" s="122"/>
      <c r="C25" s="98"/>
      <c r="D25" s="98"/>
      <c r="E25" s="98"/>
      <c r="F25" s="98"/>
      <c r="I25" s="93"/>
      <c r="J25" s="50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</row>
    <row r="26" spans="1:23" s="123" customFormat="1" ht="12.75">
      <c r="A26" s="122"/>
      <c r="C26" s="98"/>
      <c r="D26" s="98"/>
      <c r="E26" s="98"/>
      <c r="F26" s="98"/>
      <c r="I26" s="93"/>
      <c r="J26" s="50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</row>
    <row r="27" spans="1:23" ht="12.75">
      <c r="A27" s="94" t="s">
        <v>9</v>
      </c>
      <c r="B27" s="94" t="s">
        <v>54</v>
      </c>
      <c r="C27" s="94" t="s">
        <v>146</v>
      </c>
      <c r="D27" s="94" t="s">
        <v>58</v>
      </c>
      <c r="E27" s="94" t="s">
        <v>61</v>
      </c>
      <c r="F27" s="94" t="s">
        <v>147</v>
      </c>
      <c r="I27" s="37"/>
      <c r="J27" s="42"/>
      <c r="K27" s="40"/>
      <c r="L27" s="40"/>
      <c r="M27" s="40"/>
      <c r="N27" s="40"/>
      <c r="O27" s="40"/>
      <c r="P27" s="43"/>
      <c r="Q27" s="43"/>
      <c r="R27" s="43"/>
      <c r="S27" s="40"/>
      <c r="T27" s="40"/>
      <c r="U27" s="40"/>
      <c r="V27" s="40"/>
      <c r="W27" s="40"/>
    </row>
    <row r="28" spans="1:23" ht="12.75">
      <c r="A28" s="44" t="s">
        <v>16</v>
      </c>
      <c r="B28" s="20">
        <f ca="1">IFERROR(__xludf.DUMMYFUNCTION("index(GOOGLEFINANCE(A21,""price"",""2021/12/01""),2,2)"),387.12)</f>
        <v>387.12</v>
      </c>
      <c r="C28" s="47">
        <v>0.6</v>
      </c>
      <c r="D28" s="20">
        <f ca="1">IFERROR(__xludf.DUMMYFUNCTION("index(GOOGLEFINANCE(A21,""price"",""2021/11/30""),2,2)"),393.82)</f>
        <v>393.82</v>
      </c>
      <c r="E28" s="46">
        <f t="shared" ref="E28:E29" ca="1" si="0">B28/D28-1</f>
        <v>-1.7012848509471268E-2</v>
      </c>
      <c r="F28" s="46">
        <f t="shared" ref="F28:F29" ca="1" si="1">E28*C28</f>
        <v>-1.020770910568276E-2</v>
      </c>
      <c r="I28" s="35"/>
      <c r="J28" s="20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</row>
    <row r="29" spans="1:23" ht="12.75">
      <c r="A29" s="95" t="s">
        <v>148</v>
      </c>
      <c r="B29" s="20">
        <f ca="1">IFERROR(__xludf.DUMMYFUNCTION("index(GOOGLEFINANCE(A22,""price"",""2021/12/01""),2,2)"),152.34)</f>
        <v>152.34</v>
      </c>
      <c r="C29" s="47">
        <v>0.4</v>
      </c>
      <c r="D29" s="20">
        <f ca="1">IFERROR(__xludf.DUMMYFUNCTION("index(GOOGLEFINANCE(A22,""price"",""2021/11/30""),2,2)"),151.59)</f>
        <v>151.59</v>
      </c>
      <c r="E29" s="46">
        <f t="shared" ca="1" si="0"/>
        <v>4.9475559073817177E-3</v>
      </c>
      <c r="F29" s="46">
        <f t="shared" ca="1" si="1"/>
        <v>1.979022362952687E-3</v>
      </c>
      <c r="I29" s="35"/>
      <c r="J29" s="50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</row>
    <row r="30" spans="1:23" ht="12.75">
      <c r="A30" s="44"/>
      <c r="B30" s="20"/>
      <c r="C30" s="47"/>
      <c r="D30" s="20"/>
      <c r="E30" s="46"/>
      <c r="F30" s="48"/>
      <c r="I30" s="35"/>
      <c r="J30" s="50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</row>
    <row r="31" spans="1:23" ht="12.75">
      <c r="A31" s="44"/>
      <c r="B31" s="20"/>
      <c r="C31" s="47"/>
      <c r="D31" s="20"/>
      <c r="E31" s="96" t="s">
        <v>149</v>
      </c>
      <c r="F31" s="97">
        <f ca="1">F29+F28</f>
        <v>-8.2286867427300726E-3</v>
      </c>
      <c r="I31" s="35"/>
      <c r="J31" s="50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</row>
    <row r="32" spans="1:23" s="123" customFormat="1" ht="12.75">
      <c r="A32" s="44"/>
      <c r="B32" s="20"/>
      <c r="C32" s="47"/>
      <c r="D32" s="20"/>
      <c r="E32" s="133"/>
      <c r="F32" s="134"/>
      <c r="I32" s="93"/>
      <c r="J32" s="50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</row>
    <row r="33" spans="1:23" ht="15.75" customHeight="1">
      <c r="A33" s="99" t="s">
        <v>150</v>
      </c>
      <c r="B33" s="100" t="s">
        <v>151</v>
      </c>
      <c r="C33" s="101" t="s">
        <v>0</v>
      </c>
      <c r="D33" s="101" t="s">
        <v>74</v>
      </c>
      <c r="E33" s="102" t="s">
        <v>61</v>
      </c>
      <c r="F33" s="102" t="s">
        <v>75</v>
      </c>
      <c r="G33" s="21"/>
      <c r="H33" s="21"/>
      <c r="I33" s="35"/>
      <c r="J33" s="50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</row>
    <row r="34" spans="1:23" ht="15.75" customHeight="1">
      <c r="A34" s="103">
        <v>44196</v>
      </c>
      <c r="B34" s="103">
        <v>44225</v>
      </c>
      <c r="C34" s="104" t="s">
        <v>152</v>
      </c>
      <c r="D34" s="104" t="s">
        <v>153</v>
      </c>
      <c r="E34" s="105">
        <v>2.7089999999999999E-2</v>
      </c>
      <c r="F34" s="105">
        <v>-1.0189999999999999E-2</v>
      </c>
      <c r="G34" s="21"/>
      <c r="H34" s="21"/>
      <c r="I34" s="35"/>
      <c r="J34" s="50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</row>
    <row r="35" spans="1:23" ht="15.75" customHeight="1">
      <c r="A35" s="103">
        <v>44225</v>
      </c>
      <c r="B35" s="103">
        <v>44253</v>
      </c>
      <c r="C35" s="104" t="s">
        <v>152</v>
      </c>
      <c r="D35" s="104" t="s">
        <v>153</v>
      </c>
      <c r="E35" s="105">
        <v>3.7817000000000003E-2</v>
      </c>
      <c r="F35" s="105">
        <v>2.7806000000000001E-2</v>
      </c>
      <c r="G35" s="21"/>
      <c r="H35" s="21"/>
      <c r="I35" s="35"/>
      <c r="J35" s="50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</row>
    <row r="36" spans="1:23" ht="15.75" customHeight="1">
      <c r="A36" s="103">
        <v>44253</v>
      </c>
      <c r="B36" s="103">
        <v>44286</v>
      </c>
      <c r="C36" s="104" t="s">
        <v>152</v>
      </c>
      <c r="D36" s="104" t="s">
        <v>153</v>
      </c>
      <c r="E36" s="105">
        <v>1.2197E-2</v>
      </c>
      <c r="F36" s="105">
        <v>4.5405000000000001E-2</v>
      </c>
      <c r="G36" s="21"/>
      <c r="H36" s="21"/>
      <c r="I36" s="35"/>
      <c r="J36" s="50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</row>
    <row r="37" spans="1:23" ht="15.75" customHeight="1">
      <c r="A37" s="103">
        <v>44286</v>
      </c>
      <c r="B37" s="103">
        <v>44316</v>
      </c>
      <c r="C37" s="104" t="s">
        <v>154</v>
      </c>
      <c r="D37" s="104" t="s">
        <v>155</v>
      </c>
      <c r="E37" s="105">
        <v>2.8806999999999999E-2</v>
      </c>
      <c r="F37" s="105">
        <v>5.2909999999999999E-2</v>
      </c>
      <c r="G37" s="21"/>
      <c r="H37" s="21"/>
      <c r="I37" s="35"/>
      <c r="J37" s="50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</row>
    <row r="38" spans="1:23" ht="15.75" customHeight="1">
      <c r="A38" s="103">
        <v>44316</v>
      </c>
      <c r="B38" s="103">
        <v>44344</v>
      </c>
      <c r="C38" s="104" t="s">
        <v>154</v>
      </c>
      <c r="D38" s="104" t="s">
        <v>155</v>
      </c>
      <c r="E38" s="105">
        <v>1.7240000000000001E-3</v>
      </c>
      <c r="F38" s="105">
        <v>6.5659999999999998E-3</v>
      </c>
      <c r="G38" s="21"/>
      <c r="H38" s="21"/>
      <c r="I38" s="35"/>
      <c r="J38" s="50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</row>
    <row r="39" spans="1:23" ht="15">
      <c r="A39" s="103">
        <v>44344</v>
      </c>
      <c r="B39" s="103">
        <v>44377</v>
      </c>
      <c r="C39" s="104" t="s">
        <v>156</v>
      </c>
      <c r="D39" s="104" t="s">
        <v>155</v>
      </c>
      <c r="E39" s="105">
        <v>1.8770999999999999E-2</v>
      </c>
      <c r="F39" s="105">
        <v>2.2473E-2</v>
      </c>
      <c r="G39" s="21"/>
      <c r="H39" s="21"/>
      <c r="I39" s="35"/>
      <c r="J39" s="50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</row>
    <row r="40" spans="1:23" ht="15">
      <c r="A40" s="103">
        <v>44377</v>
      </c>
      <c r="B40" s="103">
        <v>44407</v>
      </c>
      <c r="C40" s="104" t="s">
        <v>157</v>
      </c>
      <c r="D40" s="104" t="s">
        <v>153</v>
      </c>
      <c r="E40" s="105">
        <v>3.2030999999999997E-2</v>
      </c>
      <c r="F40" s="105">
        <v>2.4412E-2</v>
      </c>
      <c r="G40" s="21"/>
      <c r="H40" s="21"/>
      <c r="I40" s="35"/>
      <c r="J40" s="50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</row>
    <row r="41" spans="1:23" ht="15">
      <c r="A41" s="103">
        <v>44407</v>
      </c>
      <c r="B41" s="103">
        <v>44439</v>
      </c>
      <c r="C41" s="104" t="s">
        <v>157</v>
      </c>
      <c r="D41" s="104" t="s">
        <v>153</v>
      </c>
      <c r="E41" s="105">
        <v>2.3945999999999999E-2</v>
      </c>
      <c r="F41" s="105">
        <v>2.9760000000000002E-2</v>
      </c>
      <c r="G41" s="21"/>
      <c r="H41" s="21"/>
      <c r="I41" s="35"/>
      <c r="J41" s="50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</row>
    <row r="42" spans="1:23" ht="15">
      <c r="A42" s="103">
        <v>44439</v>
      </c>
      <c r="B42" s="103">
        <v>44469</v>
      </c>
      <c r="C42" s="104" t="s">
        <v>157</v>
      </c>
      <c r="D42" s="104" t="s">
        <v>153</v>
      </c>
      <c r="E42" s="105">
        <v>-4.5710000000000001E-2</v>
      </c>
      <c r="F42" s="105">
        <v>-4.6580000000000003E-2</v>
      </c>
      <c r="G42" s="21"/>
      <c r="H42" s="21"/>
      <c r="I42" s="35"/>
      <c r="J42" s="50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</row>
    <row r="43" spans="1:23" ht="15">
      <c r="A43" s="103">
        <v>44469</v>
      </c>
      <c r="B43" s="103">
        <v>44498</v>
      </c>
      <c r="C43" s="104" t="s">
        <v>157</v>
      </c>
      <c r="D43" s="104" t="s">
        <v>153</v>
      </c>
      <c r="E43" s="105">
        <v>5.704E-2</v>
      </c>
      <c r="F43" s="105">
        <v>7.0164000000000004E-2</v>
      </c>
      <c r="G43" s="21"/>
      <c r="H43" s="21"/>
      <c r="I43" s="35"/>
      <c r="J43" s="50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</row>
    <row r="44" spans="1:23" ht="15">
      <c r="A44" s="103">
        <v>44498</v>
      </c>
      <c r="B44" s="103">
        <v>44530</v>
      </c>
      <c r="C44" s="104" t="s">
        <v>158</v>
      </c>
      <c r="D44" s="104" t="s">
        <v>155</v>
      </c>
      <c r="E44" s="105">
        <v>6.77E-3</v>
      </c>
      <c r="F44" s="105">
        <v>-8.0300000000000007E-3</v>
      </c>
      <c r="G44" s="21"/>
      <c r="H44" s="21"/>
      <c r="I44" s="35"/>
      <c r="J44" s="50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</row>
    <row r="45" spans="1:23" ht="15">
      <c r="A45" s="103">
        <v>44530</v>
      </c>
      <c r="B45" s="103"/>
      <c r="C45" s="104" t="s">
        <v>157</v>
      </c>
      <c r="D45" s="104" t="s">
        <v>153</v>
      </c>
      <c r="E45" s="105">
        <f ca="1">F31</f>
        <v>-8.2286867427300726E-3</v>
      </c>
      <c r="F45" s="105">
        <v>-1.111E-2</v>
      </c>
      <c r="G45" s="46"/>
      <c r="H45" s="48"/>
      <c r="I45" s="35"/>
      <c r="J45" s="50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</row>
    <row r="46" spans="1:23" ht="12.75">
      <c r="A46" s="44"/>
      <c r="B46" s="45"/>
      <c r="C46" s="20"/>
      <c r="D46" s="46"/>
      <c r="E46" s="47"/>
      <c r="F46" s="20"/>
      <c r="G46" s="46"/>
      <c r="H46" s="48"/>
      <c r="I46" s="35"/>
      <c r="J46" s="50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</row>
    <row r="47" spans="1:23" ht="12.75">
      <c r="A47" s="44"/>
      <c r="B47" s="45"/>
      <c r="C47" s="20"/>
      <c r="D47" s="46"/>
      <c r="E47" s="47"/>
      <c r="F47" s="20"/>
      <c r="G47" s="46"/>
      <c r="H47" s="48"/>
      <c r="I47" s="35"/>
      <c r="J47" s="50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</row>
    <row r="48" spans="1:23" ht="12.75">
      <c r="A48" s="44"/>
      <c r="B48" s="45"/>
      <c r="C48" s="20"/>
      <c r="D48" s="46"/>
      <c r="E48" s="47"/>
      <c r="F48" s="20"/>
      <c r="G48" s="46"/>
      <c r="H48" s="48"/>
      <c r="I48" s="35"/>
      <c r="J48" s="50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</row>
    <row r="49" spans="1:23" ht="12.75">
      <c r="A49" s="44"/>
      <c r="B49" s="45"/>
      <c r="C49" s="20"/>
      <c r="D49" s="46"/>
      <c r="E49" s="47"/>
      <c r="F49" s="20"/>
      <c r="G49" s="46"/>
      <c r="H49" s="48"/>
      <c r="I49" s="35"/>
      <c r="J49" s="50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</row>
    <row r="50" spans="1:23" ht="12.75">
      <c r="A50" s="44"/>
      <c r="B50" s="45"/>
      <c r="C50" s="20"/>
      <c r="D50" s="46"/>
      <c r="E50" s="47"/>
      <c r="F50" s="20"/>
      <c r="G50" s="46"/>
      <c r="H50" s="48"/>
      <c r="I50" s="35"/>
      <c r="J50" s="50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</row>
    <row r="51" spans="1:23" ht="12.75">
      <c r="A51" s="44"/>
      <c r="B51" s="45"/>
      <c r="C51" s="20"/>
      <c r="D51" s="46"/>
      <c r="E51" s="47"/>
      <c r="F51" s="20"/>
      <c r="G51" s="46"/>
      <c r="H51" s="48"/>
      <c r="I51" s="35"/>
      <c r="J51" s="50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</row>
    <row r="52" spans="1:23" ht="12.75">
      <c r="A52" s="44"/>
      <c r="B52" s="45"/>
      <c r="C52" s="20"/>
      <c r="D52" s="46"/>
      <c r="E52" s="47"/>
      <c r="F52" s="20"/>
      <c r="G52" s="46"/>
      <c r="H52" s="48"/>
      <c r="I52" s="35"/>
      <c r="J52" s="50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</row>
    <row r="53" spans="1:23" ht="12.75">
      <c r="A53" s="44"/>
      <c r="B53" s="45"/>
      <c r="C53" s="20"/>
      <c r="D53" s="46"/>
      <c r="E53" s="47"/>
      <c r="F53" s="20"/>
      <c r="G53" s="46"/>
      <c r="H53" s="48"/>
      <c r="I53" s="35"/>
      <c r="J53" s="50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</row>
    <row r="54" spans="1:23" ht="12.75">
      <c r="A54" s="44"/>
      <c r="B54" s="45"/>
      <c r="C54" s="20"/>
      <c r="D54" s="46"/>
      <c r="E54" s="47"/>
      <c r="F54" s="20"/>
      <c r="G54" s="46"/>
      <c r="H54" s="48"/>
      <c r="I54" s="35"/>
      <c r="J54" s="50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</row>
    <row r="55" spans="1:23" ht="12.75">
      <c r="A55" s="44"/>
      <c r="B55" s="45"/>
      <c r="C55" s="20"/>
      <c r="D55" s="46"/>
      <c r="E55" s="47"/>
      <c r="F55" s="20"/>
      <c r="G55" s="46"/>
      <c r="H55" s="48"/>
      <c r="I55" s="35"/>
      <c r="J55" s="50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</row>
    <row r="56" spans="1:23" ht="12.75">
      <c r="A56" s="44"/>
      <c r="B56" s="45"/>
      <c r="C56" s="20"/>
      <c r="D56" s="46"/>
      <c r="E56" s="47"/>
      <c r="F56" s="20"/>
      <c r="G56" s="46"/>
      <c r="H56" s="48"/>
      <c r="I56" s="35"/>
      <c r="J56" s="50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</row>
    <row r="57" spans="1:23" ht="12.75">
      <c r="A57" s="44"/>
      <c r="B57" s="45"/>
      <c r="C57" s="20"/>
      <c r="D57" s="46"/>
      <c r="E57" s="47"/>
      <c r="F57" s="20"/>
      <c r="G57" s="46"/>
      <c r="H57" s="48"/>
      <c r="I57" s="35"/>
      <c r="J57" s="50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</row>
    <row r="58" spans="1:23" ht="12.75">
      <c r="A58" s="44"/>
      <c r="B58" s="45"/>
      <c r="C58" s="20"/>
      <c r="D58" s="46"/>
      <c r="E58" s="47"/>
      <c r="F58" s="20"/>
      <c r="G58" s="46"/>
      <c r="H58" s="48"/>
      <c r="I58" s="35"/>
      <c r="J58" s="50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</row>
    <row r="59" spans="1:23" ht="12.75">
      <c r="A59" s="44"/>
      <c r="B59" s="45"/>
      <c r="C59" s="20"/>
      <c r="D59" s="46"/>
      <c r="E59" s="47"/>
      <c r="F59" s="20"/>
      <c r="G59" s="46"/>
      <c r="H59" s="48"/>
      <c r="I59" s="35"/>
      <c r="J59" s="50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</row>
    <row r="60" spans="1:23" ht="12.75">
      <c r="A60" s="44"/>
      <c r="B60" s="45"/>
      <c r="C60" s="20"/>
      <c r="D60" s="46"/>
      <c r="E60" s="47"/>
      <c r="F60" s="20"/>
      <c r="G60" s="46"/>
      <c r="H60" s="48"/>
      <c r="I60" s="35"/>
      <c r="J60" s="50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</row>
    <row r="61" spans="1:23" ht="12.75">
      <c r="A61" s="44"/>
      <c r="B61" s="45"/>
      <c r="C61" s="20"/>
      <c r="D61" s="46"/>
      <c r="E61" s="47"/>
      <c r="F61" s="20"/>
      <c r="G61" s="46"/>
      <c r="H61" s="48"/>
      <c r="I61" s="35"/>
      <c r="J61" s="50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</row>
    <row r="62" spans="1:23" ht="12.75">
      <c r="A62" s="44"/>
      <c r="B62" s="45"/>
      <c r="C62" s="20"/>
      <c r="D62" s="46"/>
      <c r="E62" s="47"/>
      <c r="F62" s="20"/>
      <c r="G62" s="46"/>
      <c r="H62" s="48"/>
      <c r="I62" s="35"/>
      <c r="J62" s="50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</row>
    <row r="63" spans="1:23" ht="12.75">
      <c r="A63" s="52"/>
      <c r="B63" s="35"/>
      <c r="C63" s="20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</row>
    <row r="64" spans="1:23" ht="12.75">
      <c r="A64" s="52"/>
      <c r="B64" s="35"/>
      <c r="C64" s="20"/>
      <c r="D64" s="35"/>
      <c r="E64" s="35"/>
      <c r="F64" s="35"/>
      <c r="G64" s="36"/>
      <c r="H64" s="106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</row>
    <row r="65" spans="1:23" ht="12.75">
      <c r="A65" s="35"/>
      <c r="B65" s="35"/>
      <c r="C65" s="35"/>
      <c r="D65" s="35"/>
      <c r="E65" s="35"/>
      <c r="F65" s="35"/>
      <c r="G65" s="36"/>
      <c r="H65" s="39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</row>
    <row r="66" spans="1:23" ht="12.75">
      <c r="A66" s="52"/>
      <c r="B66" s="35"/>
      <c r="C66" s="20"/>
      <c r="D66" s="57"/>
      <c r="E66" s="58"/>
      <c r="F66" s="20"/>
      <c r="G66" s="36"/>
      <c r="H66" s="38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</row>
    <row r="67" spans="1:23" ht="12.75">
      <c r="D67" s="35"/>
      <c r="E67" s="35"/>
      <c r="F67" s="40"/>
      <c r="G67" s="36"/>
      <c r="H67" s="38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</row>
    <row r="68" spans="1:23" ht="12.75">
      <c r="D68" s="35"/>
      <c r="E68" s="35"/>
      <c r="F68" s="40"/>
      <c r="G68" s="36"/>
      <c r="H68" s="107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</row>
    <row r="69" spans="1:23" ht="12.75">
      <c r="D69" s="35"/>
      <c r="E69" s="35"/>
      <c r="F69" s="40"/>
      <c r="G69" s="36"/>
      <c r="H69" s="36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</row>
    <row r="70" spans="1:23" ht="12.75">
      <c r="D70" s="35"/>
      <c r="E70" s="35"/>
      <c r="F70" s="40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</row>
    <row r="71" spans="1:23" ht="12.75"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</row>
    <row r="72" spans="1:23" ht="12.75">
      <c r="D72" s="64"/>
      <c r="E72" s="40"/>
      <c r="F72" s="40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</row>
    <row r="73" spans="1:23" ht="12.75">
      <c r="D73" s="64"/>
      <c r="E73" s="40"/>
      <c r="F73" s="40"/>
      <c r="G73" s="66"/>
      <c r="H73" s="67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</row>
    <row r="74" spans="1:23" ht="12.75">
      <c r="D74" s="64"/>
      <c r="E74" s="40"/>
      <c r="F74" s="40"/>
      <c r="G74" s="66"/>
      <c r="H74" s="19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</row>
    <row r="75" spans="1:23" ht="12.75">
      <c r="D75" s="64"/>
      <c r="E75" s="40"/>
      <c r="F75" s="40"/>
      <c r="G75" s="19"/>
      <c r="H75" s="68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</row>
    <row r="76" spans="1:23" ht="12.75">
      <c r="D76" s="64"/>
      <c r="E76" s="40"/>
      <c r="F76" s="40"/>
      <c r="G76" s="19"/>
      <c r="H76" s="68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</row>
    <row r="77" spans="1:23" ht="12.75">
      <c r="D77" s="64"/>
      <c r="E77" s="40"/>
      <c r="F77" s="40"/>
      <c r="G77" s="19"/>
      <c r="H77" s="68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</row>
    <row r="78" spans="1:23" ht="12.75">
      <c r="D78" s="64"/>
      <c r="E78" s="40"/>
      <c r="F78" s="40"/>
      <c r="G78" s="46"/>
      <c r="H78" s="69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</row>
    <row r="79" spans="1:23" ht="12.75">
      <c r="D79" s="64"/>
      <c r="E79" s="40"/>
      <c r="F79" s="40"/>
      <c r="G79" s="46"/>
      <c r="H79" s="69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</row>
    <row r="80" spans="1:23" ht="12.75">
      <c r="D80" s="64"/>
      <c r="E80" s="40"/>
      <c r="F80" s="40"/>
      <c r="G80" s="46"/>
      <c r="H80" s="69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</row>
    <row r="81" spans="1:23" ht="12.75">
      <c r="D81" s="64"/>
      <c r="E81" s="40"/>
      <c r="F81" s="40"/>
      <c r="G81" s="46"/>
      <c r="H81" s="69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</row>
    <row r="82" spans="1:23" ht="12.75">
      <c r="D82" s="64"/>
      <c r="E82" s="40"/>
      <c r="F82" s="40"/>
      <c r="G82" s="46"/>
      <c r="H82" s="69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</row>
    <row r="83" spans="1:23" ht="12.75">
      <c r="D83" s="64"/>
      <c r="E83" s="40"/>
      <c r="F83" s="40"/>
      <c r="G83" s="46"/>
      <c r="H83" s="69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</row>
    <row r="84" spans="1:23" ht="12.75">
      <c r="D84" s="64"/>
      <c r="E84" s="40"/>
      <c r="F84" s="40"/>
      <c r="G84" s="46"/>
      <c r="H84" s="69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</row>
    <row r="85" spans="1:23" ht="12.75">
      <c r="D85" s="64"/>
      <c r="E85" s="40"/>
      <c r="F85" s="40"/>
      <c r="G85" s="46"/>
      <c r="H85" s="69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</row>
    <row r="86" spans="1:23" ht="12.75">
      <c r="D86" s="64"/>
      <c r="E86" s="40"/>
      <c r="F86" s="40"/>
      <c r="G86" s="46"/>
      <c r="H86" s="69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</row>
    <row r="87" spans="1:23" ht="12.75">
      <c r="D87" s="64"/>
      <c r="E87" s="40"/>
      <c r="F87" s="40"/>
      <c r="G87" s="46"/>
      <c r="H87" s="69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</row>
    <row r="88" spans="1:23" ht="12.75">
      <c r="D88" s="64"/>
      <c r="E88" s="40"/>
      <c r="F88" s="40"/>
      <c r="G88" s="46"/>
      <c r="H88" s="69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</row>
    <row r="89" spans="1:23" ht="12.75">
      <c r="D89" s="64"/>
      <c r="E89" s="40"/>
      <c r="F89" s="40"/>
      <c r="G89" s="46"/>
      <c r="H89" s="69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</row>
    <row r="90" spans="1:23" ht="12.75">
      <c r="A90" s="35"/>
      <c r="B90" s="35"/>
      <c r="C90" s="35"/>
      <c r="D90" s="64"/>
      <c r="E90" s="40"/>
      <c r="F90" s="40"/>
      <c r="G90" s="46"/>
      <c r="H90" s="6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</row>
    <row r="91" spans="1:23" ht="12.75">
      <c r="A91" s="35"/>
      <c r="B91" s="35"/>
      <c r="C91" s="35"/>
      <c r="D91" s="64"/>
      <c r="E91" s="35"/>
      <c r="F91" s="20"/>
      <c r="G91" s="46"/>
      <c r="H91" s="6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</row>
    <row r="92" spans="1:23" ht="12.75">
      <c r="A92" s="35"/>
      <c r="B92" s="35"/>
      <c r="C92" s="35"/>
      <c r="D92" s="64"/>
      <c r="E92" s="35"/>
      <c r="F92" s="20"/>
      <c r="G92" s="46"/>
      <c r="H92" s="6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</row>
    <row r="93" spans="1:23" ht="12.75">
      <c r="A93" s="35"/>
      <c r="B93" s="35"/>
      <c r="C93" s="35"/>
      <c r="D93" s="64"/>
      <c r="E93" s="35"/>
      <c r="F93" s="20"/>
      <c r="G93" s="46"/>
      <c r="H93" s="6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</row>
    <row r="94" spans="1:23" ht="12.75">
      <c r="A94" s="35"/>
      <c r="B94" s="35"/>
      <c r="C94" s="35"/>
      <c r="D94" s="64"/>
      <c r="E94" s="35"/>
      <c r="F94" s="20"/>
      <c r="G94" s="46"/>
      <c r="H94" s="6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</row>
    <row r="95" spans="1:23" ht="12.75">
      <c r="A95" s="35"/>
      <c r="B95" s="35"/>
      <c r="C95" s="35"/>
      <c r="D95" s="64"/>
      <c r="E95" s="35"/>
      <c r="F95" s="20"/>
      <c r="G95" s="46"/>
      <c r="H95" s="6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</row>
    <row r="96" spans="1:23" ht="12.75">
      <c r="A96" s="35"/>
      <c r="B96" s="35"/>
      <c r="C96" s="35"/>
      <c r="D96" s="64"/>
      <c r="E96" s="35"/>
      <c r="F96" s="20"/>
      <c r="G96" s="46"/>
      <c r="H96" s="6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</row>
    <row r="97" spans="1:23" ht="12.75">
      <c r="A97" s="35"/>
      <c r="B97" s="35"/>
      <c r="C97" s="35"/>
      <c r="D97" s="64"/>
      <c r="E97" s="35"/>
      <c r="F97" s="20"/>
      <c r="G97" s="46"/>
      <c r="H97" s="6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</row>
    <row r="98" spans="1:23" ht="12.75">
      <c r="A98" s="35"/>
      <c r="B98" s="35"/>
      <c r="C98" s="35"/>
      <c r="D98" s="64"/>
      <c r="E98" s="35"/>
      <c r="F98" s="20"/>
      <c r="G98" s="46"/>
      <c r="H98" s="6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</row>
    <row r="99" spans="1:23" ht="12.75">
      <c r="A99" s="35"/>
      <c r="B99" s="35"/>
      <c r="C99" s="35"/>
      <c r="D99" s="64"/>
      <c r="E99" s="35"/>
      <c r="F99" s="20"/>
      <c r="G99" s="46"/>
      <c r="H99" s="6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</row>
    <row r="100" spans="1:23" ht="12.75">
      <c r="A100" s="35"/>
      <c r="B100" s="35"/>
      <c r="C100" s="35"/>
      <c r="D100" s="64"/>
      <c r="E100" s="35"/>
      <c r="F100" s="20"/>
      <c r="G100" s="46"/>
      <c r="H100" s="6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</row>
    <row r="101" spans="1:23" ht="12.75">
      <c r="A101" s="35"/>
      <c r="B101" s="35"/>
      <c r="C101" s="35"/>
      <c r="D101" s="64"/>
      <c r="E101" s="35"/>
      <c r="F101" s="20"/>
      <c r="G101" s="46"/>
      <c r="H101" s="6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</row>
    <row r="102" spans="1:23" ht="12.75">
      <c r="A102" s="35"/>
      <c r="B102" s="35"/>
      <c r="C102" s="35"/>
      <c r="D102" s="64"/>
      <c r="E102" s="35"/>
      <c r="F102" s="20"/>
      <c r="G102" s="46"/>
      <c r="H102" s="6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</row>
    <row r="103" spans="1:23" ht="12.75">
      <c r="A103" s="35"/>
      <c r="B103" s="35"/>
      <c r="C103" s="35"/>
      <c r="D103" s="64"/>
      <c r="E103" s="35"/>
      <c r="F103" s="20"/>
      <c r="G103" s="46"/>
      <c r="H103" s="6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</row>
    <row r="104" spans="1:23" ht="12.75">
      <c r="A104" s="35"/>
      <c r="B104" s="35"/>
      <c r="C104" s="35"/>
      <c r="D104" s="64"/>
      <c r="E104" s="35"/>
      <c r="F104" s="20"/>
      <c r="G104" s="46"/>
      <c r="H104" s="6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</row>
    <row r="105" spans="1:23" ht="12.75">
      <c r="A105" s="35"/>
      <c r="B105" s="35"/>
      <c r="C105" s="35"/>
      <c r="D105" s="64"/>
      <c r="E105" s="35"/>
      <c r="F105" s="20"/>
      <c r="G105" s="46"/>
      <c r="H105" s="6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</row>
    <row r="106" spans="1:23" ht="12.75">
      <c r="A106" s="35"/>
      <c r="B106" s="35"/>
      <c r="C106" s="35"/>
      <c r="D106" s="64"/>
      <c r="E106" s="35"/>
      <c r="F106" s="20"/>
      <c r="G106" s="46"/>
      <c r="H106" s="6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</row>
    <row r="107" spans="1:23" ht="12.75">
      <c r="A107" s="35"/>
      <c r="B107" s="35"/>
      <c r="C107" s="35"/>
      <c r="D107" s="64"/>
      <c r="E107" s="35"/>
      <c r="F107" s="20"/>
      <c r="G107" s="46"/>
      <c r="H107" s="6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</row>
    <row r="108" spans="1:23" ht="12.75">
      <c r="A108" s="35"/>
      <c r="B108" s="35"/>
      <c r="C108" s="35"/>
      <c r="D108" s="64"/>
      <c r="E108" s="35"/>
      <c r="F108" s="20"/>
      <c r="G108" s="46"/>
      <c r="H108" s="6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</row>
    <row r="109" spans="1:23" ht="12.75">
      <c r="A109" s="35"/>
      <c r="B109" s="35"/>
      <c r="C109" s="35"/>
      <c r="D109" s="64"/>
      <c r="E109" s="35"/>
      <c r="F109" s="20"/>
      <c r="G109" s="46"/>
      <c r="H109" s="6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</row>
    <row r="110" spans="1:23" ht="12.75">
      <c r="A110" s="35"/>
      <c r="B110" s="35"/>
      <c r="C110" s="35"/>
      <c r="D110" s="35"/>
      <c r="E110" s="35"/>
      <c r="F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</row>
    <row r="111" spans="1:23" ht="12.75">
      <c r="A111" s="35"/>
      <c r="B111" s="35"/>
      <c r="C111" s="35"/>
      <c r="D111" s="35"/>
      <c r="E111" s="35"/>
      <c r="F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</row>
    <row r="112" spans="1:23" ht="12.75">
      <c r="A112" s="35"/>
      <c r="B112" s="35"/>
      <c r="C112" s="35"/>
      <c r="D112" s="35"/>
      <c r="E112" s="35"/>
      <c r="F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</row>
    <row r="113" spans="1:23" ht="12.75">
      <c r="A113" s="35"/>
      <c r="B113" s="35"/>
      <c r="C113" s="35"/>
      <c r="D113" s="35"/>
      <c r="E113" s="35"/>
      <c r="F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</row>
    <row r="114" spans="1:23" ht="12.75">
      <c r="A114" s="35"/>
      <c r="B114" s="35"/>
      <c r="C114" s="35"/>
      <c r="D114" s="35"/>
      <c r="E114" s="35"/>
      <c r="F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</row>
    <row r="115" spans="1:23" ht="12.75">
      <c r="A115" s="35"/>
      <c r="B115" s="35"/>
      <c r="C115" s="35"/>
      <c r="D115" s="35"/>
      <c r="E115" s="35"/>
      <c r="F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</row>
    <row r="116" spans="1:23" ht="12.75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</row>
    <row r="117" spans="1:23" ht="12.75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</row>
    <row r="118" spans="1:23" ht="12.75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</row>
    <row r="119" spans="1:23" ht="12.75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</row>
    <row r="120" spans="1:23" ht="12.7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</row>
    <row r="121" spans="1:23" ht="12.75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</row>
    <row r="122" spans="1:23" ht="12.75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</row>
    <row r="123" spans="1:23" ht="12.75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</row>
    <row r="124" spans="1:23" ht="12.75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</row>
    <row r="125" spans="1:23" ht="12.75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</row>
    <row r="126" spans="1:23" ht="12.75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</row>
    <row r="127" spans="1:23" ht="12.75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</row>
    <row r="128" spans="1:23" ht="12.75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</row>
    <row r="129" spans="1:23" ht="12.75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</row>
    <row r="130" spans="1:23" ht="12.75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</row>
    <row r="131" spans="1:23" ht="12.75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</row>
    <row r="132" spans="1:23" ht="12.75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</row>
    <row r="133" spans="1:23" ht="12.75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</row>
    <row r="134" spans="1:23" ht="12.75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</row>
    <row r="135" spans="1:23" ht="12.75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</row>
    <row r="136" spans="1:23" ht="12.75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</row>
    <row r="137" spans="1:23" ht="12.75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</row>
    <row r="138" spans="1:23" ht="12.75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</row>
    <row r="139" spans="1:23" ht="12.75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</row>
    <row r="140" spans="1:23" ht="12.75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</row>
    <row r="141" spans="1:23" ht="12.75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</row>
    <row r="142" spans="1:23" ht="12.75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</row>
    <row r="143" spans="1:23" ht="12.75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</row>
    <row r="144" spans="1:23" ht="12.75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</row>
    <row r="145" spans="1:23" ht="12.75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</row>
    <row r="146" spans="1:23" ht="12.75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</row>
    <row r="147" spans="1:23" ht="12.75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</row>
    <row r="148" spans="1:23" ht="12.75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</row>
    <row r="149" spans="1:23" ht="12.75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</row>
    <row r="150" spans="1:23" ht="12.75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</row>
    <row r="151" spans="1:23" ht="12.75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</row>
    <row r="152" spans="1:23" ht="12.75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</row>
    <row r="153" spans="1:23" ht="12.75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</row>
    <row r="154" spans="1:23" ht="12.75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</row>
    <row r="155" spans="1:23" ht="12.75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</row>
    <row r="156" spans="1:23" ht="12.75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</row>
    <row r="157" spans="1:23" ht="12.75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</row>
    <row r="158" spans="1:23" ht="12.75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</row>
    <row r="159" spans="1:23" ht="12.75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</row>
    <row r="160" spans="1:23" ht="12.75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</row>
    <row r="161" spans="1:23" ht="12.75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</row>
    <row r="162" spans="1:23" ht="12.75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</row>
    <row r="163" spans="1:23" ht="12.75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</row>
    <row r="164" spans="1:23" ht="12.75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</row>
    <row r="165" spans="1:23" ht="12.75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</row>
    <row r="166" spans="1:23" ht="12.75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</row>
    <row r="167" spans="1:23" ht="12.75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</row>
    <row r="168" spans="1:23" ht="12.75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</row>
    <row r="169" spans="1:23" ht="12.75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</row>
    <row r="170" spans="1:23" ht="12.75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</row>
    <row r="171" spans="1:23" ht="12.75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</row>
    <row r="172" spans="1:23" ht="12.75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</row>
    <row r="173" spans="1:23" ht="12.75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</row>
    <row r="174" spans="1:23" ht="12.75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</row>
    <row r="175" spans="1:23" ht="12.75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</row>
    <row r="176" spans="1:23" ht="12.75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</row>
    <row r="177" spans="1:23" ht="12.75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</row>
    <row r="178" spans="1:23" ht="12.75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</row>
    <row r="179" spans="1:23" ht="12.75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</row>
    <row r="180" spans="1:23" ht="12.75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</row>
    <row r="181" spans="1:23" ht="12.75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</row>
    <row r="182" spans="1:23" ht="12.75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</row>
    <row r="183" spans="1:23" ht="12.75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</row>
    <row r="184" spans="1:23" ht="12.75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</row>
    <row r="185" spans="1:23" ht="12.75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</row>
    <row r="186" spans="1:23" ht="12.75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</row>
    <row r="187" spans="1:23" ht="12.75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</row>
    <row r="188" spans="1:23" ht="12.75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</row>
    <row r="189" spans="1:23" ht="12.75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</row>
    <row r="190" spans="1:23" ht="12.75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</row>
    <row r="191" spans="1:23" ht="12.75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</row>
    <row r="192" spans="1:23" ht="12.75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</row>
    <row r="193" spans="1:23" ht="12.75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</row>
    <row r="194" spans="1:23" ht="12.75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</row>
    <row r="195" spans="1:23" ht="12.75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</row>
    <row r="196" spans="1:23" ht="12.75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</row>
    <row r="197" spans="1:23" ht="12.75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</row>
    <row r="198" spans="1:23" ht="12.75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</row>
    <row r="199" spans="1:23" ht="12.75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</row>
    <row r="200" spans="1:23" ht="12.75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</row>
    <row r="201" spans="1:23" ht="12.75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</row>
    <row r="202" spans="1:23" ht="12.75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</row>
    <row r="203" spans="1:23" ht="12.75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</row>
    <row r="204" spans="1:23" ht="12.75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</row>
    <row r="205" spans="1:23" ht="12.75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</row>
    <row r="206" spans="1:23" ht="12.75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</row>
    <row r="207" spans="1:23" ht="12.75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</row>
    <row r="208" spans="1:23" ht="12.75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</row>
    <row r="209" spans="1:23" ht="12.75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</row>
    <row r="210" spans="1:23" ht="12.75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</row>
    <row r="211" spans="1:23" ht="12.75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</row>
    <row r="212" spans="1:23" ht="12.75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</row>
    <row r="213" spans="1:23" ht="12.75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</row>
    <row r="214" spans="1:23" ht="12.75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</row>
    <row r="215" spans="1:23" ht="12.75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</row>
    <row r="216" spans="1:23" ht="12.75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</row>
    <row r="217" spans="1:23" ht="12.75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</row>
    <row r="218" spans="1:23" ht="12.75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</row>
    <row r="219" spans="1:23" ht="12.75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</row>
    <row r="220" spans="1:23" ht="12.75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</row>
    <row r="221" spans="1:23" ht="12.75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</row>
    <row r="222" spans="1:23" ht="12.75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</row>
    <row r="223" spans="1:23" ht="12.75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</row>
    <row r="224" spans="1:23" ht="12.75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</row>
    <row r="225" spans="1:23" ht="12.75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</row>
    <row r="226" spans="1:23" ht="12.75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</row>
    <row r="227" spans="1:23" ht="12.75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</row>
    <row r="228" spans="1:23" ht="12.75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</row>
    <row r="229" spans="1:23" ht="12.75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</row>
    <row r="230" spans="1:23" ht="12.75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</row>
    <row r="231" spans="1:23" ht="12.75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</row>
    <row r="232" spans="1:23" ht="12.75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</row>
    <row r="233" spans="1:23" ht="12.75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</row>
    <row r="234" spans="1:23" ht="12.75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</row>
    <row r="235" spans="1:23" ht="12.75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</row>
    <row r="236" spans="1:23" ht="12.75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</row>
    <row r="237" spans="1:23" ht="12.75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</row>
    <row r="238" spans="1:23" ht="12.75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</row>
    <row r="239" spans="1:23" ht="12.75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</row>
    <row r="240" spans="1:23" ht="12.75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</row>
    <row r="241" spans="1:23" ht="12.75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</row>
    <row r="242" spans="1:23" ht="12.75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</row>
    <row r="243" spans="1:23" ht="12.75">
      <c r="A243" s="35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</row>
    <row r="244" spans="1:23" ht="12.75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</row>
    <row r="245" spans="1:23" ht="12.75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</row>
    <row r="246" spans="1:23" ht="12.75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</row>
    <row r="247" spans="1:23" ht="12.75">
      <c r="A247" s="35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</row>
    <row r="248" spans="1:23" ht="12.75">
      <c r="A248" s="35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</row>
    <row r="249" spans="1:23" ht="12.75">
      <c r="A249" s="35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</row>
    <row r="250" spans="1:23" ht="12.75">
      <c r="A250" s="35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</row>
    <row r="251" spans="1:23" ht="12.75">
      <c r="A251" s="35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</row>
    <row r="252" spans="1:23" ht="12.75">
      <c r="A252" s="35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</row>
    <row r="253" spans="1:23" ht="12.75">
      <c r="A253" s="35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</row>
    <row r="254" spans="1:23" ht="12.75">
      <c r="A254" s="35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</row>
    <row r="255" spans="1:23" ht="12.75">
      <c r="A255" s="35"/>
      <c r="B255" s="35"/>
      <c r="C255" s="35"/>
      <c r="D255" s="35"/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</row>
    <row r="256" spans="1:23" ht="12.75">
      <c r="A256" s="35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</row>
    <row r="257" spans="1:23" ht="12.75">
      <c r="A257" s="35"/>
      <c r="B257" s="35"/>
      <c r="C257" s="35"/>
      <c r="D257" s="35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</row>
    <row r="258" spans="1:23" ht="12.75">
      <c r="A258" s="35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</row>
    <row r="259" spans="1:23" ht="12.75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</row>
    <row r="260" spans="1:23" ht="12.75">
      <c r="A260" s="35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</row>
    <row r="261" spans="1:23" ht="12.75">
      <c r="A261" s="35"/>
      <c r="B261" s="35"/>
      <c r="C261" s="35"/>
      <c r="D261" s="35"/>
      <c r="E261" s="35"/>
      <c r="F261" s="35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</row>
    <row r="262" spans="1:23" ht="12.75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</row>
    <row r="263" spans="1:23" ht="12.75">
      <c r="A263" s="35"/>
      <c r="B263" s="35"/>
      <c r="C263" s="35"/>
      <c r="D263" s="35"/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</row>
    <row r="264" spans="1:23" ht="12.75">
      <c r="A264" s="35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</row>
    <row r="265" spans="1:23" ht="12.75">
      <c r="A265" s="35"/>
      <c r="B265" s="35"/>
      <c r="C265" s="35"/>
      <c r="D265" s="35"/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</row>
    <row r="266" spans="1:23" ht="12.75">
      <c r="A266" s="35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</row>
    <row r="267" spans="1:23" ht="12.75">
      <c r="A267" s="35"/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</row>
    <row r="268" spans="1:23" ht="12.75">
      <c r="A268" s="35"/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</row>
    <row r="269" spans="1:23" ht="12.75">
      <c r="A269" s="35"/>
      <c r="B269" s="35"/>
      <c r="C269" s="35"/>
      <c r="D269" s="35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</row>
    <row r="270" spans="1:23" ht="12.75">
      <c r="A270" s="35"/>
      <c r="B270" s="35"/>
      <c r="C270" s="35"/>
      <c r="D270" s="35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</row>
    <row r="271" spans="1:23" ht="12.75">
      <c r="A271" s="35"/>
      <c r="B271" s="35"/>
      <c r="C271" s="35"/>
      <c r="D271" s="35"/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</row>
    <row r="272" spans="1:23" ht="12.75">
      <c r="A272" s="35"/>
      <c r="B272" s="35"/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</row>
    <row r="273" spans="1:23" ht="12.75">
      <c r="A273" s="35"/>
      <c r="B273" s="35"/>
      <c r="C273" s="35"/>
      <c r="D273" s="35"/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</row>
    <row r="274" spans="1:23" ht="12.75">
      <c r="A274" s="35"/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</row>
    <row r="275" spans="1:23" ht="12.75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</row>
    <row r="276" spans="1:23" ht="12.75">
      <c r="A276" s="35"/>
      <c r="B276" s="35"/>
      <c r="C276" s="35"/>
      <c r="D276" s="35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</row>
    <row r="277" spans="1:23" ht="12.75">
      <c r="A277" s="35"/>
      <c r="B277" s="35"/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</row>
    <row r="278" spans="1:23" ht="12.75">
      <c r="A278" s="35"/>
      <c r="B278" s="35"/>
      <c r="C278" s="35"/>
      <c r="D278" s="35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</row>
    <row r="279" spans="1:23" ht="12.75">
      <c r="A279" s="35"/>
      <c r="B279" s="35"/>
      <c r="C279" s="35"/>
      <c r="D279" s="35"/>
      <c r="E279" s="35"/>
      <c r="F279" s="35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</row>
    <row r="280" spans="1:23" ht="12.75">
      <c r="A280" s="35"/>
      <c r="B280" s="35"/>
      <c r="C280" s="35"/>
      <c r="D280" s="35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</row>
    <row r="281" spans="1:23" ht="12.75">
      <c r="A281" s="35"/>
      <c r="B281" s="35"/>
      <c r="C281" s="35"/>
      <c r="D281" s="35"/>
      <c r="E281" s="35"/>
      <c r="F281" s="35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</row>
    <row r="282" spans="1:23" ht="12.75">
      <c r="A282" s="35"/>
      <c r="B282" s="35"/>
      <c r="C282" s="35"/>
      <c r="D282" s="35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</row>
    <row r="283" spans="1:23" ht="12.75">
      <c r="A283" s="35"/>
      <c r="B283" s="35"/>
      <c r="C283" s="35"/>
      <c r="D283" s="35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</row>
    <row r="284" spans="1:23" ht="12.75">
      <c r="A284" s="35"/>
      <c r="B284" s="35"/>
      <c r="C284" s="35"/>
      <c r="D284" s="35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</row>
    <row r="285" spans="1:23" ht="12.75">
      <c r="A285" s="35"/>
      <c r="B285" s="35"/>
      <c r="C285" s="35"/>
      <c r="D285" s="35"/>
      <c r="E285" s="35"/>
      <c r="F285" s="35"/>
      <c r="G285" s="35"/>
      <c r="H285" s="35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</row>
    <row r="286" spans="1:23" ht="12.75">
      <c r="A286" s="35"/>
      <c r="B286" s="35"/>
      <c r="C286" s="35"/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</row>
    <row r="287" spans="1:23" ht="12.75">
      <c r="A287" s="35"/>
      <c r="B287" s="35"/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</row>
    <row r="288" spans="1:23" ht="12.75">
      <c r="A288" s="35"/>
      <c r="B288" s="35"/>
      <c r="C288" s="35"/>
      <c r="D288" s="35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</row>
    <row r="289" spans="1:23" ht="12.75">
      <c r="A289" s="35"/>
      <c r="B289" s="35"/>
      <c r="C289" s="35"/>
      <c r="D289" s="35"/>
      <c r="E289" s="35"/>
      <c r="F289" s="35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</row>
    <row r="290" spans="1:23" ht="12.75">
      <c r="A290" s="35"/>
      <c r="B290" s="35"/>
      <c r="C290" s="35"/>
      <c r="D290" s="35"/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</row>
    <row r="291" spans="1:23" ht="12.75">
      <c r="A291" s="35"/>
      <c r="B291" s="35"/>
      <c r="C291" s="35"/>
      <c r="D291" s="35"/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</row>
    <row r="292" spans="1:23" ht="12.75">
      <c r="A292" s="35"/>
      <c r="B292" s="35"/>
      <c r="C292" s="35"/>
      <c r="D292" s="35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</row>
    <row r="293" spans="1:23" ht="12.75">
      <c r="A293" s="35"/>
      <c r="B293" s="35"/>
      <c r="C293" s="35"/>
      <c r="D293" s="35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</row>
    <row r="294" spans="1:23" ht="12.75">
      <c r="A294" s="35"/>
      <c r="B294" s="35"/>
      <c r="C294" s="35"/>
      <c r="D294" s="35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</row>
    <row r="295" spans="1:23" ht="12.75">
      <c r="A295" s="35"/>
      <c r="B295" s="35"/>
      <c r="C295" s="35"/>
      <c r="D295" s="35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</row>
    <row r="296" spans="1:23" ht="12.75">
      <c r="A296" s="35"/>
      <c r="B296" s="35"/>
      <c r="C296" s="35"/>
      <c r="D296" s="35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</row>
    <row r="297" spans="1:23" ht="12.75">
      <c r="A297" s="35"/>
      <c r="B297" s="35"/>
      <c r="C297" s="35"/>
      <c r="D297" s="35"/>
      <c r="E297" s="35"/>
      <c r="F297" s="35"/>
      <c r="G297" s="35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</row>
    <row r="298" spans="1:23" ht="12.75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</row>
    <row r="299" spans="1:23" ht="12.75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</row>
    <row r="300" spans="1:23" ht="12.75">
      <c r="A300" s="35"/>
      <c r="B300" s="35"/>
      <c r="C300" s="35"/>
      <c r="D300" s="35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</row>
    <row r="301" spans="1:23" ht="12.75">
      <c r="A301" s="35"/>
      <c r="B301" s="35"/>
      <c r="C301" s="35"/>
      <c r="D301" s="35"/>
      <c r="E301" s="35"/>
      <c r="F301" s="35"/>
      <c r="G301" s="35"/>
      <c r="H301" s="35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</row>
    <row r="302" spans="1:23" ht="12.75">
      <c r="A302" s="35"/>
      <c r="B302" s="35"/>
      <c r="C302" s="35"/>
      <c r="D302" s="35"/>
      <c r="E302" s="35"/>
      <c r="F302" s="35"/>
      <c r="G302" s="35"/>
      <c r="H302" s="35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</row>
    <row r="303" spans="1:23" ht="12.75">
      <c r="A303" s="35"/>
      <c r="B303" s="35"/>
      <c r="C303" s="35"/>
      <c r="D303" s="35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</row>
    <row r="304" spans="1:23" ht="12.75">
      <c r="A304" s="35"/>
      <c r="B304" s="35"/>
      <c r="C304" s="35"/>
      <c r="D304" s="35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</row>
    <row r="305" spans="1:23" ht="12.75">
      <c r="A305" s="35"/>
      <c r="B305" s="35"/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</row>
    <row r="306" spans="1:23" ht="12.75">
      <c r="A306" s="35"/>
      <c r="B306" s="35"/>
      <c r="C306" s="35"/>
      <c r="D306" s="35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</row>
    <row r="307" spans="1:23" ht="12.75">
      <c r="A307" s="35"/>
      <c r="B307" s="35"/>
      <c r="C307" s="35"/>
      <c r="D307" s="35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</row>
    <row r="308" spans="1:23" ht="12.75">
      <c r="A308" s="35"/>
      <c r="B308" s="35"/>
      <c r="C308" s="35"/>
      <c r="D308" s="35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</row>
    <row r="309" spans="1:23" ht="12.75">
      <c r="A309" s="35"/>
      <c r="B309" s="35"/>
      <c r="C309" s="35"/>
      <c r="D309" s="35"/>
      <c r="E309" s="35"/>
      <c r="F309" s="35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</row>
    <row r="310" spans="1:23" ht="12.75">
      <c r="A310" s="35"/>
      <c r="B310" s="35"/>
      <c r="C310" s="35"/>
      <c r="D310" s="35"/>
      <c r="E310" s="35"/>
      <c r="F310" s="35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</row>
    <row r="311" spans="1:23" ht="12.75">
      <c r="A311" s="35"/>
      <c r="B311" s="35"/>
      <c r="C311" s="35"/>
      <c r="D311" s="35"/>
      <c r="E311" s="35"/>
      <c r="F311" s="35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</row>
    <row r="312" spans="1:23" ht="12.75">
      <c r="A312" s="35"/>
      <c r="B312" s="35"/>
      <c r="C312" s="35"/>
      <c r="D312" s="35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</row>
    <row r="313" spans="1:23" ht="12.75">
      <c r="A313" s="35"/>
      <c r="B313" s="35"/>
      <c r="C313" s="35"/>
      <c r="D313" s="35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</row>
    <row r="314" spans="1:23" ht="12.75">
      <c r="A314" s="35"/>
      <c r="B314" s="35"/>
      <c r="C314" s="35"/>
      <c r="D314" s="35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</row>
    <row r="315" spans="1:23" ht="12.75">
      <c r="A315" s="35"/>
      <c r="B315" s="35"/>
      <c r="C315" s="35"/>
      <c r="D315" s="35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</row>
    <row r="316" spans="1:23" ht="12.75">
      <c r="A316" s="35"/>
      <c r="B316" s="35"/>
      <c r="C316" s="35"/>
      <c r="D316" s="35"/>
      <c r="E316" s="35"/>
      <c r="F316" s="35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</row>
    <row r="317" spans="1:23" ht="12.75">
      <c r="A317" s="35"/>
      <c r="B317" s="35"/>
      <c r="C317" s="35"/>
      <c r="D317" s="35"/>
      <c r="E317" s="35"/>
      <c r="F317" s="35"/>
      <c r="G317" s="35"/>
      <c r="H317" s="35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</row>
    <row r="318" spans="1:23" ht="12.75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</row>
    <row r="319" spans="1:23" ht="12.75">
      <c r="A319" s="35"/>
      <c r="B319" s="35"/>
      <c r="C319" s="35"/>
      <c r="D319" s="35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</row>
    <row r="320" spans="1:23" ht="12.75">
      <c r="A320" s="35"/>
      <c r="B320" s="35"/>
      <c r="C320" s="35"/>
      <c r="D320" s="35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</row>
    <row r="321" spans="1:23" ht="12.75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</row>
    <row r="322" spans="1:23" ht="12.75">
      <c r="A322" s="35"/>
      <c r="B322" s="35"/>
      <c r="C322" s="35"/>
      <c r="D322" s="35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</row>
    <row r="323" spans="1:23" ht="12.75">
      <c r="A323" s="35"/>
      <c r="B323" s="35"/>
      <c r="C323" s="35"/>
      <c r="D323" s="35"/>
      <c r="E323" s="35"/>
      <c r="F323" s="35"/>
      <c r="G323" s="35"/>
      <c r="H323" s="35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</row>
    <row r="324" spans="1:23" ht="12.75">
      <c r="A324" s="35"/>
      <c r="B324" s="35"/>
      <c r="C324" s="35"/>
      <c r="D324" s="35"/>
      <c r="E324" s="35"/>
      <c r="F324" s="35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</row>
    <row r="325" spans="1:23" ht="12.75">
      <c r="A325" s="35"/>
      <c r="B325" s="35"/>
      <c r="C325" s="35"/>
      <c r="D325" s="35"/>
      <c r="E325" s="35"/>
      <c r="F325" s="35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</row>
    <row r="326" spans="1:23" ht="12.75">
      <c r="A326" s="35"/>
      <c r="B326" s="35"/>
      <c r="C326" s="35"/>
      <c r="D326" s="35"/>
      <c r="E326" s="35"/>
      <c r="F326" s="35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</row>
    <row r="327" spans="1:23" ht="12.75">
      <c r="A327" s="35"/>
      <c r="B327" s="35"/>
      <c r="C327" s="35"/>
      <c r="D327" s="35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</row>
    <row r="328" spans="1:23" ht="12.75">
      <c r="A328" s="35"/>
      <c r="B328" s="35"/>
      <c r="C328" s="35"/>
      <c r="D328" s="35"/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</row>
    <row r="329" spans="1:23" ht="12.75">
      <c r="A329" s="35"/>
      <c r="B329" s="35"/>
      <c r="C329" s="35"/>
      <c r="D329" s="35"/>
      <c r="E329" s="35"/>
      <c r="F329" s="35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</row>
    <row r="330" spans="1:23" ht="12.75">
      <c r="A330" s="35"/>
      <c r="B330" s="35"/>
      <c r="C330" s="35"/>
      <c r="D330" s="35"/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</row>
    <row r="331" spans="1:23" ht="12.75">
      <c r="A331" s="35"/>
      <c r="B331" s="35"/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</row>
    <row r="332" spans="1:23" ht="12.75">
      <c r="A332" s="35"/>
      <c r="B332" s="35"/>
      <c r="C332" s="35"/>
      <c r="D332" s="35"/>
      <c r="E332" s="35"/>
      <c r="F332" s="35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</row>
    <row r="333" spans="1:23" ht="12.75">
      <c r="A333" s="35"/>
      <c r="B333" s="35"/>
      <c r="C333" s="35"/>
      <c r="D333" s="35"/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</row>
    <row r="334" spans="1:23" ht="12.75">
      <c r="A334" s="35"/>
      <c r="B334" s="35"/>
      <c r="C334" s="35"/>
      <c r="D334" s="35"/>
      <c r="E334" s="35"/>
      <c r="F334" s="35"/>
      <c r="G334" s="35"/>
      <c r="H334" s="35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</row>
    <row r="335" spans="1:23" ht="12.75">
      <c r="A335" s="35"/>
      <c r="B335" s="35"/>
      <c r="C335" s="35"/>
      <c r="D335" s="35"/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</row>
    <row r="336" spans="1:23" ht="12.75">
      <c r="A336" s="35"/>
      <c r="B336" s="35"/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</row>
    <row r="337" spans="1:23" ht="12.75">
      <c r="A337" s="35"/>
      <c r="B337" s="35"/>
      <c r="C337" s="35"/>
      <c r="D337" s="35"/>
      <c r="E337" s="35"/>
      <c r="F337" s="35"/>
      <c r="G337" s="35"/>
      <c r="H337" s="35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</row>
    <row r="338" spans="1:23" ht="12.75">
      <c r="A338" s="35"/>
      <c r="B338" s="35"/>
      <c r="C338" s="35"/>
      <c r="D338" s="35"/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</row>
    <row r="339" spans="1:23" ht="12.75">
      <c r="A339" s="35"/>
      <c r="B339" s="35"/>
      <c r="C339" s="35"/>
      <c r="D339" s="35"/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</row>
    <row r="340" spans="1:23" ht="12.75">
      <c r="A340" s="35"/>
      <c r="B340" s="35"/>
      <c r="C340" s="35"/>
      <c r="D340" s="35"/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</row>
    <row r="341" spans="1:23" ht="12.75">
      <c r="A341" s="35"/>
      <c r="B341" s="35"/>
      <c r="C341" s="35"/>
      <c r="D341" s="35"/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</row>
    <row r="342" spans="1:23" ht="12.75">
      <c r="A342" s="35"/>
      <c r="B342" s="35"/>
      <c r="C342" s="35"/>
      <c r="D342" s="35"/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</row>
    <row r="343" spans="1:23" ht="12.75">
      <c r="A343" s="35"/>
      <c r="B343" s="35"/>
      <c r="C343" s="35"/>
      <c r="D343" s="35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</row>
    <row r="344" spans="1:23" ht="12.75">
      <c r="A344" s="35"/>
      <c r="B344" s="35"/>
      <c r="C344" s="35"/>
      <c r="D344" s="35"/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</row>
    <row r="345" spans="1:23" ht="12.75">
      <c r="A345" s="35"/>
      <c r="B345" s="35"/>
      <c r="C345" s="35"/>
      <c r="D345" s="35"/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</row>
    <row r="346" spans="1:23" ht="12.75">
      <c r="A346" s="35"/>
      <c r="B346" s="35"/>
      <c r="C346" s="35"/>
      <c r="D346" s="35"/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</row>
    <row r="347" spans="1:23" ht="12.75">
      <c r="A347" s="35"/>
      <c r="B347" s="35"/>
      <c r="C347" s="35"/>
      <c r="D347" s="35"/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</row>
    <row r="348" spans="1:23" ht="12.75">
      <c r="A348" s="35"/>
      <c r="B348" s="35"/>
      <c r="C348" s="35"/>
      <c r="D348" s="35"/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</row>
    <row r="349" spans="1:23" ht="12.75">
      <c r="A349" s="35"/>
      <c r="B349" s="35"/>
      <c r="C349" s="35"/>
      <c r="D349" s="35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</row>
    <row r="350" spans="1:23" ht="12.75">
      <c r="A350" s="35"/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</row>
    <row r="351" spans="1:23" ht="12.75">
      <c r="A351" s="35"/>
      <c r="B351" s="35"/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</row>
    <row r="352" spans="1:23" ht="12.75">
      <c r="A352" s="35"/>
      <c r="B352" s="35"/>
      <c r="C352" s="35"/>
      <c r="D352" s="35"/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</row>
    <row r="353" spans="1:23" ht="12.75">
      <c r="A353" s="35"/>
      <c r="B353" s="35"/>
      <c r="C353" s="35"/>
      <c r="D353" s="35"/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</row>
    <row r="354" spans="1:23" ht="12.75">
      <c r="A354" s="35"/>
      <c r="B354" s="35"/>
      <c r="C354" s="35"/>
      <c r="D354" s="35"/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</row>
    <row r="355" spans="1:23" ht="12.75">
      <c r="A355" s="35"/>
      <c r="B355" s="35"/>
      <c r="C355" s="35"/>
      <c r="D355" s="35"/>
      <c r="E355" s="35"/>
      <c r="F355" s="35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</row>
    <row r="356" spans="1:23" ht="12.75">
      <c r="A356" s="35"/>
      <c r="B356" s="35"/>
      <c r="C356" s="35"/>
      <c r="D356" s="35"/>
      <c r="E356" s="35"/>
      <c r="F356" s="35"/>
      <c r="G356" s="35"/>
      <c r="H356" s="35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</row>
    <row r="357" spans="1:23" ht="12.75">
      <c r="A357" s="35"/>
      <c r="B357" s="35"/>
      <c r="C357" s="35"/>
      <c r="D357" s="35"/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</row>
    <row r="358" spans="1:23" ht="12.75">
      <c r="A358" s="35"/>
      <c r="B358" s="35"/>
      <c r="C358" s="35"/>
      <c r="D358" s="35"/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</row>
    <row r="359" spans="1:23" ht="12.75">
      <c r="A359" s="35"/>
      <c r="B359" s="35"/>
      <c r="C359" s="35"/>
      <c r="D359" s="35"/>
      <c r="E359" s="35"/>
      <c r="F359" s="35"/>
      <c r="G359" s="35"/>
      <c r="H359" s="35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</row>
    <row r="360" spans="1:23" ht="12.75">
      <c r="A360" s="35"/>
      <c r="B360" s="35"/>
      <c r="C360" s="35"/>
      <c r="D360" s="35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</row>
    <row r="361" spans="1:23" ht="12.75">
      <c r="A361" s="35"/>
      <c r="B361" s="35"/>
      <c r="C361" s="35"/>
      <c r="D361" s="35"/>
      <c r="E361" s="35"/>
      <c r="F361" s="35"/>
      <c r="G361" s="35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</row>
    <row r="362" spans="1:23" ht="12.75">
      <c r="A362" s="35"/>
      <c r="B362" s="35"/>
      <c r="C362" s="35"/>
      <c r="D362" s="35"/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</row>
    <row r="363" spans="1:23" ht="12.75">
      <c r="A363" s="35"/>
      <c r="B363" s="35"/>
      <c r="C363" s="35"/>
      <c r="D363" s="35"/>
      <c r="E363" s="35"/>
      <c r="F363" s="35"/>
      <c r="G363" s="35"/>
      <c r="H363" s="35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</row>
    <row r="364" spans="1:23" ht="12.75">
      <c r="A364" s="35"/>
      <c r="B364" s="35"/>
      <c r="C364" s="35"/>
      <c r="D364" s="35"/>
      <c r="E364" s="35"/>
      <c r="F364" s="35"/>
      <c r="G364" s="35"/>
      <c r="H364" s="35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</row>
    <row r="365" spans="1:23" ht="12.75">
      <c r="A365" s="35"/>
      <c r="B365" s="35"/>
      <c r="C365" s="35"/>
      <c r="D365" s="35"/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</row>
    <row r="366" spans="1:23" ht="12.75">
      <c r="A366" s="35"/>
      <c r="B366" s="35"/>
      <c r="C366" s="35"/>
      <c r="D366" s="35"/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</row>
    <row r="367" spans="1:23" ht="12.75">
      <c r="A367" s="35"/>
      <c r="B367" s="35"/>
      <c r="C367" s="35"/>
      <c r="D367" s="35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</row>
    <row r="368" spans="1:23" ht="12.75">
      <c r="A368" s="35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</row>
    <row r="369" spans="1:23" ht="12.75">
      <c r="A369" s="35"/>
      <c r="B369" s="35"/>
      <c r="C369" s="35"/>
      <c r="D369" s="35"/>
      <c r="E369" s="35"/>
      <c r="F369" s="35"/>
      <c r="G369" s="35"/>
      <c r="H369" s="35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</row>
    <row r="370" spans="1:23" ht="12.75">
      <c r="A370" s="35"/>
      <c r="B370" s="35"/>
      <c r="C370" s="35"/>
      <c r="D370" s="35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</row>
    <row r="371" spans="1:23" ht="12.75">
      <c r="A371" s="35"/>
      <c r="B371" s="35"/>
      <c r="C371" s="35"/>
      <c r="D371" s="35"/>
      <c r="E371" s="35"/>
      <c r="F371" s="35"/>
      <c r="G371" s="35"/>
      <c r="H371" s="35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</row>
    <row r="372" spans="1:23" ht="12.75">
      <c r="A372" s="35"/>
      <c r="B372" s="35"/>
      <c r="C372" s="35"/>
      <c r="D372" s="35"/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</row>
    <row r="373" spans="1:23" ht="12.75">
      <c r="A373" s="35"/>
      <c r="B373" s="35"/>
      <c r="C373" s="35"/>
      <c r="D373" s="35"/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</row>
    <row r="374" spans="1:23" ht="12.75">
      <c r="A374" s="35"/>
      <c r="B374" s="35"/>
      <c r="C374" s="35"/>
      <c r="D374" s="35"/>
      <c r="E374" s="35"/>
      <c r="F374" s="35"/>
      <c r="G374" s="35"/>
      <c r="H374" s="35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</row>
    <row r="375" spans="1:23" ht="12.75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</row>
    <row r="376" spans="1:23" ht="12.75">
      <c r="A376" s="35"/>
      <c r="B376" s="35"/>
      <c r="C376" s="35"/>
      <c r="D376" s="35"/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</row>
    <row r="377" spans="1:23" ht="12.75">
      <c r="A377" s="35"/>
      <c r="B377" s="35"/>
      <c r="C377" s="35"/>
      <c r="D377" s="35"/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</row>
    <row r="378" spans="1:23" ht="12.75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</row>
    <row r="379" spans="1:23" ht="12.75">
      <c r="A379" s="35"/>
      <c r="B379" s="35"/>
      <c r="C379" s="35"/>
      <c r="D379" s="35"/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</row>
    <row r="380" spans="1:23" ht="12.75">
      <c r="A380" s="35"/>
      <c r="B380" s="35"/>
      <c r="C380" s="35"/>
      <c r="D380" s="35"/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</row>
    <row r="381" spans="1:23" ht="12.75">
      <c r="A381" s="35"/>
      <c r="B381" s="35"/>
      <c r="C381" s="35"/>
      <c r="D381" s="35"/>
      <c r="E381" s="35"/>
      <c r="F381" s="35"/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</row>
    <row r="382" spans="1:23" ht="12.75">
      <c r="A382" s="35"/>
      <c r="B382" s="35"/>
      <c r="C382" s="35"/>
      <c r="D382" s="35"/>
      <c r="E382" s="35"/>
      <c r="F382" s="35"/>
      <c r="G382" s="35"/>
      <c r="H382" s="35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</row>
    <row r="383" spans="1:23" ht="12.75">
      <c r="A383" s="35"/>
      <c r="B383" s="35"/>
      <c r="C383" s="35"/>
      <c r="D383" s="35"/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</row>
    <row r="384" spans="1:23" ht="12.75">
      <c r="A384" s="35"/>
      <c r="B384" s="35"/>
      <c r="C384" s="35"/>
      <c r="D384" s="35"/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</row>
    <row r="385" spans="1:23" ht="12.75">
      <c r="A385" s="35"/>
      <c r="B385" s="35"/>
      <c r="C385" s="35"/>
      <c r="D385" s="35"/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</row>
    <row r="386" spans="1:23" ht="12.75">
      <c r="A386" s="35"/>
      <c r="B386" s="35"/>
      <c r="C386" s="35"/>
      <c r="D386" s="35"/>
      <c r="E386" s="35"/>
      <c r="F386" s="35"/>
      <c r="G386" s="35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</row>
    <row r="387" spans="1:23" ht="12.75">
      <c r="A387" s="35"/>
      <c r="B387" s="35"/>
      <c r="C387" s="35"/>
      <c r="D387" s="35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</row>
    <row r="388" spans="1:23" ht="12.75">
      <c r="A388" s="35"/>
      <c r="B388" s="35"/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</row>
    <row r="389" spans="1:23" ht="12.75">
      <c r="A389" s="35"/>
      <c r="B389" s="35"/>
      <c r="C389" s="35"/>
      <c r="D389" s="35"/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</row>
    <row r="390" spans="1:23" ht="12.75">
      <c r="A390" s="35"/>
      <c r="B390" s="35"/>
      <c r="C390" s="35"/>
      <c r="D390" s="35"/>
      <c r="E390" s="35"/>
      <c r="F390" s="35"/>
      <c r="G390" s="35"/>
      <c r="H390" s="35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</row>
    <row r="391" spans="1:23" ht="12.75">
      <c r="A391" s="35"/>
      <c r="B391" s="35"/>
      <c r="C391" s="35"/>
      <c r="D391" s="35"/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</row>
    <row r="392" spans="1:23" ht="12.75">
      <c r="A392" s="35"/>
      <c r="B392" s="35"/>
      <c r="C392" s="35"/>
      <c r="D392" s="35"/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</row>
    <row r="393" spans="1:23" ht="12.75">
      <c r="A393" s="35"/>
      <c r="B393" s="35"/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</row>
    <row r="394" spans="1:23" ht="12.75">
      <c r="A394" s="35"/>
      <c r="B394" s="35"/>
      <c r="C394" s="35"/>
      <c r="D394" s="35"/>
      <c r="E394" s="35"/>
      <c r="F394" s="35"/>
      <c r="G394" s="35"/>
      <c r="H394" s="35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</row>
    <row r="395" spans="1:23" ht="12.75">
      <c r="A395" s="35"/>
      <c r="B395" s="35"/>
      <c r="C395" s="35"/>
      <c r="D395" s="35"/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</row>
    <row r="396" spans="1:23" ht="12.75">
      <c r="A396" s="35"/>
      <c r="B396" s="35"/>
      <c r="C396" s="35"/>
      <c r="D396" s="35"/>
      <c r="E396" s="35"/>
      <c r="F396" s="35"/>
      <c r="G396" s="35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</row>
    <row r="397" spans="1:23" ht="12.75">
      <c r="A397" s="35"/>
      <c r="B397" s="35"/>
      <c r="C397" s="35"/>
      <c r="D397" s="35"/>
      <c r="E397" s="35"/>
      <c r="F397" s="35"/>
      <c r="G397" s="35"/>
      <c r="H397" s="35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</row>
    <row r="398" spans="1:23" ht="12.75">
      <c r="A398" s="35"/>
      <c r="B398" s="35"/>
      <c r="C398" s="35"/>
      <c r="D398" s="35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</row>
    <row r="399" spans="1:23" ht="12.75">
      <c r="A399" s="35"/>
      <c r="B399" s="35"/>
      <c r="C399" s="35"/>
      <c r="D399" s="35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</row>
    <row r="400" spans="1:23" ht="12.75">
      <c r="A400" s="35"/>
      <c r="B400" s="35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</row>
    <row r="401" spans="1:23" ht="12.75">
      <c r="A401" s="35"/>
      <c r="B401" s="35"/>
      <c r="C401" s="35"/>
      <c r="D401" s="35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</row>
    <row r="402" spans="1:23" ht="12.75">
      <c r="A402" s="35"/>
      <c r="B402" s="35"/>
      <c r="C402" s="35"/>
      <c r="D402" s="35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</row>
    <row r="403" spans="1:23" ht="12.75">
      <c r="A403" s="35"/>
      <c r="B403" s="35"/>
      <c r="C403" s="35"/>
      <c r="D403" s="35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</row>
    <row r="404" spans="1:23" ht="12.75">
      <c r="A404" s="35"/>
      <c r="B404" s="35"/>
      <c r="C404" s="35"/>
      <c r="D404" s="35"/>
      <c r="E404" s="35"/>
      <c r="F404" s="35"/>
      <c r="G404" s="35"/>
      <c r="H404" s="35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</row>
    <row r="405" spans="1:23" ht="12.75">
      <c r="A405" s="35"/>
      <c r="B405" s="35"/>
      <c r="C405" s="35"/>
      <c r="D405" s="35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</row>
    <row r="406" spans="1:23" ht="12.75">
      <c r="A406" s="35"/>
      <c r="B406" s="35"/>
      <c r="C406" s="35"/>
      <c r="D406" s="35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</row>
    <row r="407" spans="1:23" ht="12.75">
      <c r="A407" s="35"/>
      <c r="B407" s="35"/>
      <c r="C407" s="35"/>
      <c r="D407" s="35"/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</row>
    <row r="408" spans="1:23" ht="12.75">
      <c r="A408" s="35"/>
      <c r="B408" s="35"/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</row>
    <row r="409" spans="1:23" ht="12.75">
      <c r="A409" s="35"/>
      <c r="B409" s="35"/>
      <c r="C409" s="35"/>
      <c r="D409" s="35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</row>
    <row r="410" spans="1:23" ht="12.75">
      <c r="A410" s="35"/>
      <c r="B410" s="35"/>
      <c r="C410" s="35"/>
      <c r="D410" s="35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</row>
    <row r="411" spans="1:23" ht="12.75">
      <c r="A411" s="35"/>
      <c r="B411" s="35"/>
      <c r="C411" s="35"/>
      <c r="D411" s="35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</row>
    <row r="412" spans="1:23" ht="12.75">
      <c r="A412" s="35"/>
      <c r="B412" s="35"/>
      <c r="C412" s="35"/>
      <c r="D412" s="35"/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</row>
    <row r="413" spans="1:23" ht="12.75">
      <c r="A413" s="35"/>
      <c r="B413" s="35"/>
      <c r="C413" s="35"/>
      <c r="D413" s="35"/>
      <c r="E413" s="35"/>
      <c r="F413" s="35"/>
      <c r="G413" s="35"/>
      <c r="H413" s="35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</row>
    <row r="414" spans="1:23" ht="12.75">
      <c r="A414" s="35"/>
      <c r="B414" s="35"/>
      <c r="C414" s="35"/>
      <c r="D414" s="35"/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</row>
    <row r="415" spans="1:23" ht="12.75">
      <c r="A415" s="35"/>
      <c r="B415" s="35"/>
      <c r="C415" s="35"/>
      <c r="D415" s="35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</row>
    <row r="416" spans="1:23" ht="12.75">
      <c r="A416" s="35"/>
      <c r="B416" s="35"/>
      <c r="C416" s="35"/>
      <c r="D416" s="35"/>
      <c r="E416" s="35"/>
      <c r="F416" s="35"/>
      <c r="G416" s="35"/>
      <c r="H416" s="35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</row>
    <row r="417" spans="1:23" ht="12.75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</row>
    <row r="418" spans="1:23" ht="12.75">
      <c r="A418" s="35"/>
      <c r="B418" s="35"/>
      <c r="C418" s="35"/>
      <c r="D418" s="35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</row>
    <row r="419" spans="1:23" ht="12.75">
      <c r="A419" s="35"/>
      <c r="B419" s="35"/>
      <c r="C419" s="35"/>
      <c r="D419" s="35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</row>
    <row r="420" spans="1:23" ht="12.75">
      <c r="A420" s="35"/>
      <c r="B420" s="35"/>
      <c r="C420" s="35"/>
      <c r="D420" s="35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</row>
    <row r="421" spans="1:23" ht="12.75">
      <c r="A421" s="35"/>
      <c r="B421" s="35"/>
      <c r="C421" s="35"/>
      <c r="D421" s="35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</row>
    <row r="422" spans="1:23" ht="12.75">
      <c r="A422" s="35"/>
      <c r="B422" s="35"/>
      <c r="C422" s="35"/>
      <c r="D422" s="35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</row>
    <row r="423" spans="1:23" ht="12.75">
      <c r="A423" s="35"/>
      <c r="B423" s="35"/>
      <c r="C423" s="35"/>
      <c r="D423" s="35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</row>
    <row r="424" spans="1:23" ht="12.75">
      <c r="A424" s="35"/>
      <c r="B424" s="35"/>
      <c r="C424" s="35"/>
      <c r="D424" s="35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</row>
    <row r="425" spans="1:23" ht="12.75">
      <c r="A425" s="35"/>
      <c r="B425" s="35"/>
      <c r="C425" s="35"/>
      <c r="D425" s="35"/>
      <c r="E425" s="35"/>
      <c r="F425" s="35"/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</row>
    <row r="426" spans="1:23" ht="12.75">
      <c r="A426" s="35"/>
      <c r="B426" s="35"/>
      <c r="C426" s="35"/>
      <c r="D426" s="35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</row>
    <row r="427" spans="1:23" ht="12.75">
      <c r="A427" s="35"/>
      <c r="B427" s="35"/>
      <c r="C427" s="35"/>
      <c r="D427" s="35"/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</row>
    <row r="428" spans="1:23" ht="12.75">
      <c r="A428" s="35"/>
      <c r="B428" s="35"/>
      <c r="C428" s="35"/>
      <c r="D428" s="35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</row>
    <row r="429" spans="1:23" ht="12.75">
      <c r="A429" s="35"/>
      <c r="B429" s="35"/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</row>
    <row r="430" spans="1:23" ht="12.75">
      <c r="A430" s="35"/>
      <c r="B430" s="35"/>
      <c r="C430" s="35"/>
      <c r="D430" s="35"/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</row>
    <row r="431" spans="1:23" ht="12.75">
      <c r="A431" s="35"/>
      <c r="B431" s="35"/>
      <c r="C431" s="35"/>
      <c r="D431" s="35"/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</row>
    <row r="432" spans="1:23" ht="12.75">
      <c r="A432" s="35"/>
      <c r="B432" s="35"/>
      <c r="C432" s="35"/>
      <c r="D432" s="35"/>
      <c r="E432" s="35"/>
      <c r="F432" s="35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</row>
    <row r="433" spans="1:23" ht="12.75">
      <c r="A433" s="35"/>
      <c r="B433" s="35"/>
      <c r="C433" s="35"/>
      <c r="D433" s="35"/>
      <c r="E433" s="35"/>
      <c r="F433" s="35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</row>
    <row r="434" spans="1:23" ht="12.75">
      <c r="A434" s="35"/>
      <c r="B434" s="35"/>
      <c r="C434" s="35"/>
      <c r="D434" s="35"/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</row>
    <row r="435" spans="1:23" ht="12.75">
      <c r="A435" s="35"/>
      <c r="B435" s="35"/>
      <c r="C435" s="35"/>
      <c r="D435" s="35"/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</row>
    <row r="436" spans="1:23" ht="12.75">
      <c r="A436" s="35"/>
      <c r="B436" s="35"/>
      <c r="C436" s="35"/>
      <c r="D436" s="35"/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</row>
    <row r="437" spans="1:23" ht="12.75">
      <c r="A437" s="35"/>
      <c r="B437" s="35"/>
      <c r="C437" s="35"/>
      <c r="D437" s="35"/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</row>
    <row r="438" spans="1:23" ht="12.75">
      <c r="A438" s="35"/>
      <c r="B438" s="35"/>
      <c r="C438" s="35"/>
      <c r="D438" s="35"/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</row>
    <row r="439" spans="1:23" ht="12.75">
      <c r="A439" s="35"/>
      <c r="B439" s="35"/>
      <c r="C439" s="35"/>
      <c r="D439" s="35"/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</row>
    <row r="440" spans="1:23" ht="12.75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</row>
    <row r="441" spans="1:23" ht="12.75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</row>
    <row r="442" spans="1:23" ht="12.75">
      <c r="A442" s="35"/>
      <c r="B442" s="35"/>
      <c r="C442" s="35"/>
      <c r="D442" s="35"/>
      <c r="E442" s="35"/>
      <c r="F442" s="35"/>
      <c r="G442" s="35"/>
      <c r="H442" s="35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</row>
    <row r="443" spans="1:23" ht="12.75">
      <c r="A443" s="35"/>
      <c r="B443" s="35"/>
      <c r="C443" s="35"/>
      <c r="D443" s="35"/>
      <c r="E443" s="35"/>
      <c r="F443" s="35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</row>
    <row r="444" spans="1:23" ht="12.75">
      <c r="A444" s="35"/>
      <c r="B444" s="35"/>
      <c r="C444" s="35"/>
      <c r="D444" s="35"/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</row>
    <row r="445" spans="1:23" ht="12.75">
      <c r="A445" s="35"/>
      <c r="B445" s="35"/>
      <c r="C445" s="35"/>
      <c r="D445" s="35"/>
      <c r="E445" s="35"/>
      <c r="F445" s="35"/>
      <c r="G445" s="35"/>
      <c r="H445" s="35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</row>
    <row r="446" spans="1:23" ht="12.75">
      <c r="A446" s="35"/>
      <c r="B446" s="35"/>
      <c r="C446" s="35"/>
      <c r="D446" s="35"/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</row>
    <row r="447" spans="1:23" ht="12.75">
      <c r="A447" s="35"/>
      <c r="B447" s="35"/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</row>
    <row r="448" spans="1:23" ht="12.75">
      <c r="A448" s="35"/>
      <c r="B448" s="35"/>
      <c r="C448" s="35"/>
      <c r="D448" s="35"/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</row>
    <row r="449" spans="1:23" ht="12.75">
      <c r="A449" s="35"/>
      <c r="B449" s="35"/>
      <c r="C449" s="35"/>
      <c r="D449" s="35"/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</row>
    <row r="450" spans="1:23" ht="12.75">
      <c r="A450" s="35"/>
      <c r="B450" s="35"/>
      <c r="C450" s="35"/>
      <c r="D450" s="35"/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</row>
    <row r="451" spans="1:23" ht="12.75">
      <c r="A451" s="35"/>
      <c r="B451" s="35"/>
      <c r="C451" s="35"/>
      <c r="D451" s="35"/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</row>
    <row r="452" spans="1:23" ht="12.75">
      <c r="A452" s="35"/>
      <c r="B452" s="35"/>
      <c r="C452" s="35"/>
      <c r="D452" s="35"/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</row>
    <row r="453" spans="1:23" ht="12.75">
      <c r="A453" s="35"/>
      <c r="B453" s="35"/>
      <c r="C453" s="35"/>
      <c r="D453" s="35"/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</row>
    <row r="454" spans="1:23" ht="12.75">
      <c r="A454" s="35"/>
      <c r="B454" s="35"/>
      <c r="C454" s="35"/>
      <c r="D454" s="35"/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</row>
    <row r="455" spans="1:23" ht="12.75">
      <c r="A455" s="35"/>
      <c r="B455" s="35"/>
      <c r="C455" s="35"/>
      <c r="D455" s="35"/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</row>
    <row r="456" spans="1:23" ht="12.75">
      <c r="A456" s="35"/>
      <c r="B456" s="35"/>
      <c r="C456" s="35"/>
      <c r="D456" s="35"/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</row>
    <row r="457" spans="1:23" ht="12.75">
      <c r="A457" s="35"/>
      <c r="B457" s="35"/>
      <c r="C457" s="35"/>
      <c r="D457" s="35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</row>
    <row r="458" spans="1:23" ht="12.75">
      <c r="A458" s="35"/>
      <c r="B458" s="35"/>
      <c r="C458" s="35"/>
      <c r="D458" s="35"/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</row>
    <row r="459" spans="1:23" ht="12.75">
      <c r="A459" s="35"/>
      <c r="B459" s="35"/>
      <c r="C459" s="35"/>
      <c r="D459" s="35"/>
      <c r="E459" s="35"/>
      <c r="F459" s="35"/>
      <c r="G459" s="35"/>
      <c r="H459" s="35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</row>
    <row r="460" spans="1:23" ht="12.75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</row>
    <row r="461" spans="1:23" ht="12.75">
      <c r="A461" s="35"/>
      <c r="B461" s="35"/>
      <c r="C461" s="35"/>
      <c r="D461" s="35"/>
      <c r="E461" s="35"/>
      <c r="F461" s="35"/>
      <c r="G461" s="35"/>
      <c r="H461" s="35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</row>
    <row r="462" spans="1:23" ht="12.75">
      <c r="A462" s="35"/>
      <c r="B462" s="35"/>
      <c r="C462" s="35"/>
      <c r="D462" s="35"/>
      <c r="E462" s="35"/>
      <c r="F462" s="35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</row>
    <row r="463" spans="1:23" ht="12.75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</row>
    <row r="464" spans="1:23" ht="12.75">
      <c r="A464" s="35"/>
      <c r="B464" s="35"/>
      <c r="C464" s="35"/>
      <c r="D464" s="35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</row>
    <row r="465" spans="1:23" ht="12.75">
      <c r="A465" s="35"/>
      <c r="B465" s="35"/>
      <c r="C465" s="35"/>
      <c r="D465" s="35"/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</row>
    <row r="466" spans="1:23" ht="12.75">
      <c r="A466" s="35"/>
      <c r="B466" s="35"/>
      <c r="C466" s="35"/>
      <c r="D466" s="35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</row>
    <row r="467" spans="1:23" ht="12.75">
      <c r="A467" s="35"/>
      <c r="B467" s="35"/>
      <c r="C467" s="35"/>
      <c r="D467" s="35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</row>
    <row r="468" spans="1:23" ht="12.75">
      <c r="A468" s="35"/>
      <c r="B468" s="35"/>
      <c r="C468" s="35"/>
      <c r="D468" s="35"/>
      <c r="E468" s="35"/>
      <c r="F468" s="35"/>
      <c r="G468" s="35"/>
      <c r="H468" s="35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</row>
    <row r="469" spans="1:23" ht="12.75">
      <c r="A469" s="35"/>
      <c r="B469" s="35"/>
      <c r="C469" s="35"/>
      <c r="D469" s="35"/>
      <c r="E469" s="35"/>
      <c r="F469" s="35"/>
      <c r="G469" s="35"/>
      <c r="H469" s="35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</row>
    <row r="470" spans="1:23" ht="12.75">
      <c r="A470" s="35"/>
      <c r="B470" s="35"/>
      <c r="C470" s="35"/>
      <c r="D470" s="35"/>
      <c r="E470" s="35"/>
      <c r="F470" s="35"/>
      <c r="G470" s="35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</row>
    <row r="471" spans="1:23" ht="12.75">
      <c r="A471" s="35"/>
      <c r="B471" s="35"/>
      <c r="C471" s="35"/>
      <c r="D471" s="35"/>
      <c r="E471" s="35"/>
      <c r="F471" s="35"/>
      <c r="G471" s="35"/>
      <c r="H471" s="35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</row>
    <row r="472" spans="1:23" ht="12.75">
      <c r="A472" s="35"/>
      <c r="B472" s="35"/>
      <c r="C472" s="35"/>
      <c r="D472" s="35"/>
      <c r="E472" s="35"/>
      <c r="F472" s="35"/>
      <c r="G472" s="35"/>
      <c r="H472" s="35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</row>
    <row r="473" spans="1:23" ht="12.75">
      <c r="A473" s="35"/>
      <c r="B473" s="35"/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</row>
    <row r="474" spans="1:23" ht="12.75">
      <c r="A474" s="35"/>
      <c r="B474" s="35"/>
      <c r="C474" s="35"/>
      <c r="D474" s="35"/>
      <c r="E474" s="35"/>
      <c r="F474" s="35"/>
      <c r="G474" s="35"/>
      <c r="H474" s="35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</row>
    <row r="475" spans="1:23" ht="12.75">
      <c r="A475" s="35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</row>
    <row r="476" spans="1:23" ht="12.75">
      <c r="A476" s="35"/>
      <c r="B476" s="35"/>
      <c r="C476" s="35"/>
      <c r="D476" s="35"/>
      <c r="E476" s="35"/>
      <c r="F476" s="35"/>
      <c r="G476" s="35"/>
      <c r="H476" s="35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</row>
    <row r="477" spans="1:23" ht="12.75">
      <c r="A477" s="35"/>
      <c r="B477" s="35"/>
      <c r="C477" s="35"/>
      <c r="D477" s="35"/>
      <c r="E477" s="35"/>
      <c r="F477" s="35"/>
      <c r="G477" s="35"/>
      <c r="H477" s="35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</row>
    <row r="478" spans="1:23" ht="12.75">
      <c r="A478" s="35"/>
      <c r="B478" s="35"/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</row>
    <row r="479" spans="1:23" ht="12.75">
      <c r="A479" s="35"/>
      <c r="B479" s="35"/>
      <c r="C479" s="35"/>
      <c r="D479" s="35"/>
      <c r="E479" s="35"/>
      <c r="F479" s="35"/>
      <c r="G479" s="35"/>
      <c r="H479" s="35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</row>
    <row r="480" spans="1:23" ht="12.75">
      <c r="A480" s="35"/>
      <c r="B480" s="35"/>
      <c r="C480" s="35"/>
      <c r="D480" s="35"/>
      <c r="E480" s="35"/>
      <c r="F480" s="35"/>
      <c r="G480" s="35"/>
      <c r="H480" s="35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</row>
    <row r="481" spans="1:23" ht="12.75">
      <c r="A481" s="35"/>
      <c r="B481" s="35"/>
      <c r="C481" s="35"/>
      <c r="D481" s="35"/>
      <c r="E481" s="35"/>
      <c r="F481" s="35"/>
      <c r="G481" s="35"/>
      <c r="H481" s="35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</row>
    <row r="482" spans="1:23" ht="12.75">
      <c r="A482" s="35"/>
      <c r="B482" s="35"/>
      <c r="C482" s="35"/>
      <c r="D482" s="35"/>
      <c r="E482" s="35"/>
      <c r="F482" s="35"/>
      <c r="G482" s="35"/>
      <c r="H482" s="35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</row>
    <row r="483" spans="1:23" ht="12.75">
      <c r="A483" s="35"/>
      <c r="B483" s="35"/>
      <c r="C483" s="35"/>
      <c r="D483" s="35"/>
      <c r="E483" s="35"/>
      <c r="F483" s="35"/>
      <c r="G483" s="35"/>
      <c r="H483" s="35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</row>
    <row r="484" spans="1:23" ht="12.75">
      <c r="A484" s="35"/>
      <c r="B484" s="35"/>
      <c r="C484" s="35"/>
      <c r="D484" s="35"/>
      <c r="E484" s="35"/>
      <c r="F484" s="35"/>
      <c r="G484" s="35"/>
      <c r="H484" s="35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</row>
    <row r="485" spans="1:23" ht="12.75">
      <c r="A485" s="35"/>
      <c r="B485" s="35"/>
      <c r="C485" s="35"/>
      <c r="D485" s="35"/>
      <c r="E485" s="35"/>
      <c r="F485" s="35"/>
      <c r="G485" s="35"/>
      <c r="H485" s="35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</row>
    <row r="486" spans="1:23" ht="12.75">
      <c r="A486" s="35"/>
      <c r="B486" s="35"/>
      <c r="C486" s="35"/>
      <c r="D486" s="35"/>
      <c r="E486" s="35"/>
      <c r="F486" s="35"/>
      <c r="G486" s="35"/>
      <c r="H486" s="35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</row>
    <row r="487" spans="1:23" ht="12.75">
      <c r="A487" s="35"/>
      <c r="B487" s="35"/>
      <c r="C487" s="35"/>
      <c r="D487" s="35"/>
      <c r="E487" s="35"/>
      <c r="F487" s="35"/>
      <c r="G487" s="35"/>
      <c r="H487" s="35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</row>
    <row r="488" spans="1:23" ht="12.75">
      <c r="A488" s="35"/>
      <c r="B488" s="35"/>
      <c r="C488" s="35"/>
      <c r="D488" s="35"/>
      <c r="E488" s="35"/>
      <c r="F488" s="35"/>
      <c r="G488" s="35"/>
      <c r="H488" s="35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</row>
    <row r="489" spans="1:23" ht="12.75">
      <c r="A489" s="35"/>
      <c r="B489" s="35"/>
      <c r="C489" s="35"/>
      <c r="D489" s="35"/>
      <c r="E489" s="35"/>
      <c r="F489" s="35"/>
      <c r="G489" s="35"/>
      <c r="H489" s="35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</row>
    <row r="490" spans="1:23" ht="12.75">
      <c r="A490" s="35"/>
      <c r="B490" s="35"/>
      <c r="C490" s="35"/>
      <c r="D490" s="35"/>
      <c r="E490" s="35"/>
      <c r="F490" s="35"/>
      <c r="G490" s="35"/>
      <c r="H490" s="35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</row>
    <row r="491" spans="1:23" ht="12.75">
      <c r="A491" s="35"/>
      <c r="B491" s="35"/>
      <c r="C491" s="35"/>
      <c r="D491" s="35"/>
      <c r="E491" s="35"/>
      <c r="F491" s="35"/>
      <c r="G491" s="35"/>
      <c r="H491" s="35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</row>
    <row r="492" spans="1:23" ht="12.75">
      <c r="A492" s="35"/>
      <c r="B492" s="35"/>
      <c r="C492" s="35"/>
      <c r="D492" s="35"/>
      <c r="E492" s="35"/>
      <c r="F492" s="35"/>
      <c r="G492" s="35"/>
      <c r="H492" s="35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</row>
    <row r="493" spans="1:23" ht="12.75">
      <c r="A493" s="35"/>
      <c r="B493" s="35"/>
      <c r="C493" s="35"/>
      <c r="D493" s="35"/>
      <c r="E493" s="35"/>
      <c r="F493" s="35"/>
      <c r="G493" s="35"/>
      <c r="H493" s="35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</row>
    <row r="494" spans="1:23" ht="12.75">
      <c r="A494" s="35"/>
      <c r="B494" s="35"/>
      <c r="C494" s="35"/>
      <c r="D494" s="35"/>
      <c r="E494" s="35"/>
      <c r="F494" s="35"/>
      <c r="G494" s="35"/>
      <c r="H494" s="35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</row>
    <row r="495" spans="1:23" ht="12.75">
      <c r="A495" s="35"/>
      <c r="B495" s="35"/>
      <c r="C495" s="35"/>
      <c r="D495" s="35"/>
      <c r="E495" s="35"/>
      <c r="F495" s="35"/>
      <c r="G495" s="35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</row>
    <row r="496" spans="1:23" ht="12.75">
      <c r="A496" s="35"/>
      <c r="B496" s="35"/>
      <c r="C496" s="35"/>
      <c r="D496" s="35"/>
      <c r="E496" s="35"/>
      <c r="F496" s="35"/>
      <c r="G496" s="35"/>
      <c r="H496" s="35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</row>
    <row r="497" spans="1:23" ht="12.75">
      <c r="A497" s="35"/>
      <c r="B497" s="35"/>
      <c r="C497" s="35"/>
      <c r="D497" s="35"/>
      <c r="E497" s="35"/>
      <c r="F497" s="35"/>
      <c r="G497" s="35"/>
      <c r="H497" s="35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</row>
    <row r="498" spans="1:23" ht="12.75">
      <c r="A498" s="35"/>
      <c r="B498" s="35"/>
      <c r="C498" s="35"/>
      <c r="D498" s="35"/>
      <c r="E498" s="35"/>
      <c r="F498" s="35"/>
      <c r="G498" s="35"/>
      <c r="H498" s="35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</row>
    <row r="499" spans="1:23" ht="12.75">
      <c r="A499" s="35"/>
      <c r="B499" s="35"/>
      <c r="C499" s="35"/>
      <c r="D499" s="35"/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</row>
    <row r="500" spans="1:23" ht="12.75">
      <c r="A500" s="35"/>
      <c r="B500" s="35"/>
      <c r="C500" s="35"/>
      <c r="D500" s="35"/>
      <c r="E500" s="35"/>
      <c r="F500" s="35"/>
      <c r="G500" s="35"/>
      <c r="H500" s="35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</row>
    <row r="501" spans="1:23" ht="12.75">
      <c r="A501" s="35"/>
      <c r="B501" s="35"/>
      <c r="C501" s="35"/>
      <c r="D501" s="35"/>
      <c r="E501" s="35"/>
      <c r="F501" s="35"/>
      <c r="G501" s="35"/>
      <c r="H501" s="35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</row>
    <row r="502" spans="1:23" ht="12.75">
      <c r="A502" s="35"/>
      <c r="B502" s="35"/>
      <c r="C502" s="35"/>
      <c r="D502" s="35"/>
      <c r="E502" s="35"/>
      <c r="F502" s="35"/>
      <c r="G502" s="35"/>
      <c r="H502" s="35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</row>
    <row r="503" spans="1:23" ht="12.75">
      <c r="A503" s="35"/>
      <c r="B503" s="35"/>
      <c r="C503" s="35"/>
      <c r="D503" s="35"/>
      <c r="E503" s="35"/>
      <c r="F503" s="35"/>
      <c r="G503" s="35"/>
      <c r="H503" s="35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</row>
    <row r="504" spans="1:23" ht="12.75">
      <c r="A504" s="35"/>
      <c r="B504" s="35"/>
      <c r="C504" s="35"/>
      <c r="D504" s="35"/>
      <c r="E504" s="35"/>
      <c r="F504" s="35"/>
      <c r="G504" s="35"/>
      <c r="H504" s="35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</row>
    <row r="505" spans="1:23" ht="12.75">
      <c r="A505" s="35"/>
      <c r="B505" s="35"/>
      <c r="C505" s="35"/>
      <c r="D505" s="35"/>
      <c r="E505" s="35"/>
      <c r="F505" s="35"/>
      <c r="G505" s="35"/>
      <c r="H505" s="35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</row>
    <row r="506" spans="1:23" ht="12.75">
      <c r="A506" s="35"/>
      <c r="B506" s="35"/>
      <c r="C506" s="35"/>
      <c r="D506" s="35"/>
      <c r="E506" s="35"/>
      <c r="F506" s="35"/>
      <c r="G506" s="35"/>
      <c r="H506" s="35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</row>
    <row r="507" spans="1:23" ht="12.75">
      <c r="A507" s="35"/>
      <c r="B507" s="35"/>
      <c r="C507" s="35"/>
      <c r="D507" s="35"/>
      <c r="E507" s="35"/>
      <c r="F507" s="35"/>
      <c r="G507" s="35"/>
      <c r="H507" s="35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</row>
    <row r="508" spans="1:23" ht="12.75">
      <c r="A508" s="35"/>
      <c r="B508" s="35"/>
      <c r="C508" s="35"/>
      <c r="D508" s="35"/>
      <c r="E508" s="35"/>
      <c r="F508" s="35"/>
      <c r="G508" s="35"/>
      <c r="H508" s="35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</row>
    <row r="509" spans="1:23" ht="12.75">
      <c r="A509" s="35"/>
      <c r="B509" s="35"/>
      <c r="C509" s="35"/>
      <c r="D509" s="35"/>
      <c r="E509" s="35"/>
      <c r="F509" s="35"/>
      <c r="G509" s="35"/>
      <c r="H509" s="35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</row>
    <row r="510" spans="1:23" ht="12.75">
      <c r="A510" s="35"/>
      <c r="B510" s="35"/>
      <c r="C510" s="35"/>
      <c r="D510" s="35"/>
      <c r="E510" s="35"/>
      <c r="F510" s="35"/>
      <c r="G510" s="35"/>
      <c r="H510" s="35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</row>
    <row r="511" spans="1:23" ht="12.75">
      <c r="A511" s="35"/>
      <c r="B511" s="35"/>
      <c r="C511" s="35"/>
      <c r="D511" s="35"/>
      <c r="E511" s="35"/>
      <c r="F511" s="35"/>
      <c r="G511" s="35"/>
      <c r="H511" s="35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</row>
    <row r="512" spans="1:23" ht="12.75">
      <c r="A512" s="35"/>
      <c r="B512" s="35"/>
      <c r="C512" s="35"/>
      <c r="D512" s="35"/>
      <c r="E512" s="35"/>
      <c r="F512" s="35"/>
      <c r="G512" s="35"/>
      <c r="H512" s="35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</row>
    <row r="513" spans="1:23" ht="12.75">
      <c r="A513" s="35"/>
      <c r="B513" s="35"/>
      <c r="C513" s="35"/>
      <c r="D513" s="35"/>
      <c r="E513" s="35"/>
      <c r="F513" s="35"/>
      <c r="G513" s="35"/>
      <c r="H513" s="35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</row>
    <row r="514" spans="1:23" ht="12.75">
      <c r="A514" s="35"/>
      <c r="B514" s="35"/>
      <c r="C514" s="35"/>
      <c r="D514" s="35"/>
      <c r="E514" s="35"/>
      <c r="F514" s="35"/>
      <c r="G514" s="35"/>
      <c r="H514" s="35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</row>
    <row r="515" spans="1:23" ht="12.75">
      <c r="A515" s="35"/>
      <c r="B515" s="35"/>
      <c r="C515" s="35"/>
      <c r="D515" s="35"/>
      <c r="E515" s="35"/>
      <c r="F515" s="35"/>
      <c r="G515" s="35"/>
      <c r="H515" s="35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</row>
    <row r="516" spans="1:23" ht="12.75">
      <c r="A516" s="35"/>
      <c r="B516" s="35"/>
      <c r="C516" s="35"/>
      <c r="D516" s="35"/>
      <c r="E516" s="35"/>
      <c r="F516" s="35"/>
      <c r="G516" s="35"/>
      <c r="H516" s="35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</row>
    <row r="517" spans="1:23" ht="12.75">
      <c r="A517" s="35"/>
      <c r="B517" s="35"/>
      <c r="C517" s="35"/>
      <c r="D517" s="35"/>
      <c r="E517" s="35"/>
      <c r="F517" s="35"/>
      <c r="G517" s="35"/>
      <c r="H517" s="35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</row>
    <row r="518" spans="1:23" ht="12.75">
      <c r="A518" s="35"/>
      <c r="B518" s="35"/>
      <c r="C518" s="35"/>
      <c r="D518" s="35"/>
      <c r="E518" s="35"/>
      <c r="F518" s="35"/>
      <c r="G518" s="35"/>
      <c r="H518" s="35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</row>
    <row r="519" spans="1:23" ht="12.75">
      <c r="A519" s="35"/>
      <c r="B519" s="35"/>
      <c r="C519" s="35"/>
      <c r="D519" s="35"/>
      <c r="E519" s="35"/>
      <c r="F519" s="35"/>
      <c r="G519" s="35"/>
      <c r="H519" s="35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</row>
    <row r="520" spans="1:23" ht="12.75">
      <c r="A520" s="35"/>
      <c r="B520" s="35"/>
      <c r="C520" s="35"/>
      <c r="D520" s="35"/>
      <c r="E520" s="35"/>
      <c r="F520" s="35"/>
      <c r="G520" s="35"/>
      <c r="H520" s="35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</row>
    <row r="521" spans="1:23" ht="12.75">
      <c r="A521" s="35"/>
      <c r="B521" s="35"/>
      <c r="C521" s="35"/>
      <c r="D521" s="35"/>
      <c r="E521" s="35"/>
      <c r="F521" s="35"/>
      <c r="G521" s="35"/>
      <c r="H521" s="35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</row>
    <row r="522" spans="1:23" ht="12.75">
      <c r="A522" s="35"/>
      <c r="B522" s="35"/>
      <c r="C522" s="35"/>
      <c r="D522" s="35"/>
      <c r="E522" s="35"/>
      <c r="F522" s="35"/>
      <c r="G522" s="35"/>
      <c r="H522" s="35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</row>
    <row r="523" spans="1:23" ht="12.75">
      <c r="A523" s="35"/>
      <c r="B523" s="35"/>
      <c r="C523" s="35"/>
      <c r="D523" s="35"/>
      <c r="E523" s="35"/>
      <c r="F523" s="35"/>
      <c r="G523" s="35"/>
      <c r="H523" s="35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</row>
    <row r="524" spans="1:23" ht="12.75">
      <c r="A524" s="35"/>
      <c r="B524" s="35"/>
      <c r="C524" s="35"/>
      <c r="D524" s="35"/>
      <c r="E524" s="35"/>
      <c r="F524" s="35"/>
      <c r="G524" s="35"/>
      <c r="H524" s="35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</row>
    <row r="525" spans="1:23" ht="12.75">
      <c r="A525" s="35"/>
      <c r="B525" s="35"/>
      <c r="C525" s="35"/>
      <c r="D525" s="35"/>
      <c r="E525" s="35"/>
      <c r="F525" s="35"/>
      <c r="G525" s="35"/>
      <c r="H525" s="35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</row>
    <row r="526" spans="1:23" ht="12.75">
      <c r="A526" s="35"/>
      <c r="B526" s="35"/>
      <c r="C526" s="35"/>
      <c r="D526" s="35"/>
      <c r="E526" s="35"/>
      <c r="F526" s="35"/>
      <c r="G526" s="35"/>
      <c r="H526" s="35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</row>
    <row r="527" spans="1:23" ht="12.75">
      <c r="A527" s="35"/>
      <c r="B527" s="35"/>
      <c r="C527" s="35"/>
      <c r="D527" s="35"/>
      <c r="E527" s="35"/>
      <c r="F527" s="35"/>
      <c r="G527" s="35"/>
      <c r="H527" s="35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</row>
    <row r="528" spans="1:23" ht="12.75">
      <c r="A528" s="35"/>
      <c r="B528" s="35"/>
      <c r="C528" s="35"/>
      <c r="D528" s="35"/>
      <c r="E528" s="35"/>
      <c r="F528" s="35"/>
      <c r="G528" s="35"/>
      <c r="H528" s="35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</row>
    <row r="529" spans="1:23" ht="12.75">
      <c r="A529" s="35"/>
      <c r="B529" s="35"/>
      <c r="C529" s="35"/>
      <c r="D529" s="35"/>
      <c r="E529" s="35"/>
      <c r="F529" s="35"/>
      <c r="G529" s="35"/>
      <c r="H529" s="35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</row>
    <row r="530" spans="1:23" ht="12.75">
      <c r="A530" s="35"/>
      <c r="B530" s="35"/>
      <c r="C530" s="35"/>
      <c r="D530" s="35"/>
      <c r="E530" s="35"/>
      <c r="F530" s="35"/>
      <c r="G530" s="35"/>
      <c r="H530" s="35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</row>
    <row r="531" spans="1:23" ht="12.75">
      <c r="A531" s="35"/>
      <c r="B531" s="35"/>
      <c r="C531" s="35"/>
      <c r="D531" s="35"/>
      <c r="E531" s="35"/>
      <c r="F531" s="35"/>
      <c r="G531" s="35"/>
      <c r="H531" s="35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</row>
    <row r="532" spans="1:23" ht="12.75">
      <c r="A532" s="35"/>
      <c r="B532" s="35"/>
      <c r="C532" s="35"/>
      <c r="D532" s="35"/>
      <c r="E532" s="35"/>
      <c r="F532" s="35"/>
      <c r="G532" s="35"/>
      <c r="H532" s="35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</row>
    <row r="533" spans="1:23" ht="12.75">
      <c r="A533" s="35"/>
      <c r="B533" s="35"/>
      <c r="C533" s="35"/>
      <c r="D533" s="35"/>
      <c r="E533" s="35"/>
      <c r="F533" s="35"/>
      <c r="G533" s="35"/>
      <c r="H533" s="35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</row>
    <row r="534" spans="1:23" ht="12.75">
      <c r="A534" s="35"/>
      <c r="B534" s="35"/>
      <c r="C534" s="35"/>
      <c r="D534" s="35"/>
      <c r="E534" s="35"/>
      <c r="F534" s="35"/>
      <c r="G534" s="35"/>
      <c r="H534" s="35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</row>
    <row r="535" spans="1:23" ht="12.75">
      <c r="A535" s="35"/>
      <c r="B535" s="35"/>
      <c r="C535" s="35"/>
      <c r="D535" s="35"/>
      <c r="E535" s="35"/>
      <c r="F535" s="35"/>
      <c r="G535" s="35"/>
      <c r="H535" s="35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</row>
    <row r="536" spans="1:23" ht="12.75">
      <c r="A536" s="35"/>
      <c r="B536" s="35"/>
      <c r="C536" s="35"/>
      <c r="D536" s="35"/>
      <c r="E536" s="35"/>
      <c r="F536" s="35"/>
      <c r="G536" s="35"/>
      <c r="H536" s="35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</row>
    <row r="537" spans="1:23" ht="12.75">
      <c r="A537" s="35"/>
      <c r="B537" s="35"/>
      <c r="C537" s="35"/>
      <c r="D537" s="35"/>
      <c r="E537" s="35"/>
      <c r="F537" s="35"/>
      <c r="G537" s="35"/>
      <c r="H537" s="35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</row>
    <row r="538" spans="1:23" ht="12.75">
      <c r="A538" s="35"/>
      <c r="B538" s="35"/>
      <c r="C538" s="35"/>
      <c r="D538" s="35"/>
      <c r="E538" s="35"/>
      <c r="F538" s="35"/>
      <c r="G538" s="35"/>
      <c r="H538" s="35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</row>
    <row r="539" spans="1:23" ht="12.75">
      <c r="A539" s="35"/>
      <c r="B539" s="35"/>
      <c r="C539" s="35"/>
      <c r="D539" s="35"/>
      <c r="E539" s="35"/>
      <c r="F539" s="35"/>
      <c r="G539" s="35"/>
      <c r="H539" s="35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</row>
    <row r="540" spans="1:23" ht="12.75">
      <c r="A540" s="35"/>
      <c r="B540" s="35"/>
      <c r="C540" s="35"/>
      <c r="D540" s="35"/>
      <c r="E540" s="35"/>
      <c r="F540" s="35"/>
      <c r="G540" s="35"/>
      <c r="H540" s="35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</row>
    <row r="541" spans="1:23" ht="12.75">
      <c r="A541" s="35"/>
      <c r="B541" s="35"/>
      <c r="C541" s="35"/>
      <c r="D541" s="35"/>
      <c r="E541" s="35"/>
      <c r="F541" s="35"/>
      <c r="G541" s="35"/>
      <c r="H541" s="35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</row>
    <row r="542" spans="1:23" ht="12.75">
      <c r="A542" s="35"/>
      <c r="B542" s="35"/>
      <c r="C542" s="35"/>
      <c r="D542" s="35"/>
      <c r="E542" s="35"/>
      <c r="F542" s="35"/>
      <c r="G542" s="35"/>
      <c r="H542" s="35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</row>
    <row r="543" spans="1:23" ht="12.75">
      <c r="A543" s="35"/>
      <c r="B543" s="35"/>
      <c r="C543" s="35"/>
      <c r="D543" s="35"/>
      <c r="E543" s="35"/>
      <c r="F543" s="35"/>
      <c r="G543" s="35"/>
      <c r="H543" s="35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</row>
    <row r="544" spans="1:23" ht="12.75">
      <c r="A544" s="35"/>
      <c r="B544" s="35"/>
      <c r="C544" s="35"/>
      <c r="D544" s="35"/>
      <c r="E544" s="35"/>
      <c r="F544" s="35"/>
      <c r="G544" s="35"/>
      <c r="H544" s="35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</row>
    <row r="545" spans="1:23" ht="12.75">
      <c r="A545" s="35"/>
      <c r="B545" s="35"/>
      <c r="C545" s="35"/>
      <c r="D545" s="35"/>
      <c r="E545" s="35"/>
      <c r="F545" s="35"/>
      <c r="G545" s="35"/>
      <c r="H545" s="35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</row>
    <row r="546" spans="1:23" ht="12.75">
      <c r="A546" s="35"/>
      <c r="B546" s="35"/>
      <c r="C546" s="35"/>
      <c r="D546" s="35"/>
      <c r="E546" s="35"/>
      <c r="F546" s="35"/>
      <c r="G546" s="35"/>
      <c r="H546" s="35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</row>
    <row r="547" spans="1:23" ht="12.75">
      <c r="A547" s="35"/>
      <c r="B547" s="35"/>
      <c r="C547" s="35"/>
      <c r="D547" s="35"/>
      <c r="E547" s="35"/>
      <c r="F547" s="35"/>
      <c r="G547" s="35"/>
      <c r="H547" s="35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</row>
    <row r="548" spans="1:23" ht="12.75">
      <c r="A548" s="35"/>
      <c r="B548" s="35"/>
      <c r="C548" s="35"/>
      <c r="D548" s="35"/>
      <c r="E548" s="35"/>
      <c r="F548" s="35"/>
      <c r="G548" s="35"/>
      <c r="H548" s="35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</row>
    <row r="549" spans="1:23" ht="12.75">
      <c r="A549" s="35"/>
      <c r="B549" s="35"/>
      <c r="C549" s="35"/>
      <c r="D549" s="35"/>
      <c r="E549" s="35"/>
      <c r="F549" s="35"/>
      <c r="G549" s="35"/>
      <c r="H549" s="35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</row>
    <row r="550" spans="1:23" ht="12.75">
      <c r="A550" s="35"/>
      <c r="B550" s="35"/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</row>
    <row r="551" spans="1:23" ht="12.75">
      <c r="A551" s="35"/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</row>
    <row r="552" spans="1:23" ht="12.75">
      <c r="A552" s="35"/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</row>
    <row r="553" spans="1:23" ht="12.75">
      <c r="A553" s="35"/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</row>
    <row r="554" spans="1:23" ht="12.75">
      <c r="A554" s="35"/>
      <c r="B554" s="35"/>
      <c r="C554" s="35"/>
      <c r="D554" s="35"/>
      <c r="E554" s="35"/>
      <c r="F554" s="35"/>
      <c r="G554" s="35"/>
      <c r="H554" s="35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</row>
    <row r="555" spans="1:23" ht="12.75">
      <c r="A555" s="35"/>
      <c r="B555" s="35"/>
      <c r="C555" s="35"/>
      <c r="D555" s="35"/>
      <c r="E555" s="35"/>
      <c r="F555" s="35"/>
      <c r="G555" s="35"/>
      <c r="H555" s="35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</row>
    <row r="556" spans="1:23" ht="12.75">
      <c r="A556" s="35"/>
      <c r="B556" s="35"/>
      <c r="C556" s="35"/>
      <c r="D556" s="35"/>
      <c r="E556" s="35"/>
      <c r="F556" s="35"/>
      <c r="G556" s="35"/>
      <c r="H556" s="35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</row>
    <row r="557" spans="1:23" ht="12.75">
      <c r="A557" s="35"/>
      <c r="B557" s="35"/>
      <c r="C557" s="35"/>
      <c r="D557" s="35"/>
      <c r="E557" s="35"/>
      <c r="F557" s="35"/>
      <c r="G557" s="35"/>
      <c r="H557" s="35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</row>
    <row r="558" spans="1:23" ht="12.75">
      <c r="A558" s="35"/>
      <c r="B558" s="35"/>
      <c r="C558" s="35"/>
      <c r="D558" s="35"/>
      <c r="E558" s="35"/>
      <c r="F558" s="35"/>
      <c r="G558" s="35"/>
      <c r="H558" s="35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</row>
    <row r="559" spans="1:23" ht="12.75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</row>
    <row r="560" spans="1:23" ht="12.75">
      <c r="A560" s="35"/>
      <c r="B560" s="35"/>
      <c r="C560" s="35"/>
      <c r="D560" s="35"/>
      <c r="E560" s="35"/>
      <c r="F560" s="35"/>
      <c r="G560" s="35"/>
      <c r="H560" s="35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</row>
    <row r="561" spans="1:23" ht="12.75">
      <c r="A561" s="35"/>
      <c r="B561" s="35"/>
      <c r="C561" s="35"/>
      <c r="D561" s="35"/>
      <c r="E561" s="35"/>
      <c r="F561" s="35"/>
      <c r="G561" s="35"/>
      <c r="H561" s="35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</row>
    <row r="562" spans="1:23" ht="12.75">
      <c r="A562" s="35"/>
      <c r="B562" s="35"/>
      <c r="C562" s="35"/>
      <c r="D562" s="35"/>
      <c r="E562" s="35"/>
      <c r="F562" s="35"/>
      <c r="G562" s="35"/>
      <c r="H562" s="35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</row>
    <row r="563" spans="1:23" ht="12.75">
      <c r="A563" s="35"/>
      <c r="B563" s="35"/>
      <c r="C563" s="35"/>
      <c r="D563" s="35"/>
      <c r="E563" s="35"/>
      <c r="F563" s="35"/>
      <c r="G563" s="35"/>
      <c r="H563" s="35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</row>
    <row r="564" spans="1:23" ht="12.75">
      <c r="A564" s="35"/>
      <c r="B564" s="35"/>
      <c r="C564" s="35"/>
      <c r="D564" s="35"/>
      <c r="E564" s="35"/>
      <c r="F564" s="35"/>
      <c r="G564" s="35"/>
      <c r="H564" s="35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</row>
    <row r="565" spans="1:23" ht="12.75">
      <c r="A565" s="35"/>
      <c r="B565" s="35"/>
      <c r="C565" s="35"/>
      <c r="D565" s="35"/>
      <c r="E565" s="35"/>
      <c r="F565" s="35"/>
      <c r="G565" s="35"/>
      <c r="H565" s="35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</row>
    <row r="566" spans="1:23" ht="12.75">
      <c r="A566" s="35"/>
      <c r="B566" s="35"/>
      <c r="C566" s="35"/>
      <c r="D566" s="35"/>
      <c r="E566" s="35"/>
      <c r="F566" s="35"/>
      <c r="G566" s="35"/>
      <c r="H566" s="35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</row>
    <row r="567" spans="1:23" ht="12.75">
      <c r="A567" s="35"/>
      <c r="B567" s="35"/>
      <c r="C567" s="35"/>
      <c r="D567" s="35"/>
      <c r="E567" s="35"/>
      <c r="F567" s="35"/>
      <c r="G567" s="35"/>
      <c r="H567" s="35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</row>
    <row r="568" spans="1:23" ht="12.75">
      <c r="A568" s="35"/>
      <c r="B568" s="35"/>
      <c r="C568" s="35"/>
      <c r="D568" s="35"/>
      <c r="E568" s="35"/>
      <c r="F568" s="35"/>
      <c r="G568" s="35"/>
      <c r="H568" s="35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</row>
    <row r="569" spans="1:23" ht="12.75">
      <c r="A569" s="35"/>
      <c r="B569" s="35"/>
      <c r="C569" s="35"/>
      <c r="D569" s="35"/>
      <c r="E569" s="35"/>
      <c r="F569" s="35"/>
      <c r="G569" s="35"/>
      <c r="H569" s="35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</row>
    <row r="570" spans="1:23" ht="12.75">
      <c r="A570" s="35"/>
      <c r="B570" s="35"/>
      <c r="C570" s="35"/>
      <c r="D570" s="35"/>
      <c r="E570" s="35"/>
      <c r="F570" s="35"/>
      <c r="G570" s="35"/>
      <c r="H570" s="35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</row>
    <row r="571" spans="1:23" ht="12.75">
      <c r="A571" s="35"/>
      <c r="B571" s="35"/>
      <c r="C571" s="35"/>
      <c r="D571" s="35"/>
      <c r="E571" s="35"/>
      <c r="F571" s="35"/>
      <c r="G571" s="35"/>
      <c r="H571" s="35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</row>
    <row r="572" spans="1:23" ht="12.75">
      <c r="A572" s="35"/>
      <c r="B572" s="35"/>
      <c r="C572" s="35"/>
      <c r="D572" s="35"/>
      <c r="E572" s="35"/>
      <c r="F572" s="35"/>
      <c r="G572" s="35"/>
      <c r="H572" s="35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</row>
    <row r="573" spans="1:23" ht="12.75">
      <c r="A573" s="35"/>
      <c r="B573" s="35"/>
      <c r="C573" s="35"/>
      <c r="D573" s="35"/>
      <c r="E573" s="35"/>
      <c r="F573" s="35"/>
      <c r="G573" s="35"/>
      <c r="H573" s="35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</row>
    <row r="574" spans="1:23" ht="12.75">
      <c r="A574" s="35"/>
      <c r="B574" s="35"/>
      <c r="C574" s="35"/>
      <c r="D574" s="35"/>
      <c r="E574" s="35"/>
      <c r="F574" s="35"/>
      <c r="G574" s="35"/>
      <c r="H574" s="35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</row>
    <row r="575" spans="1:23" ht="12.75">
      <c r="A575" s="35"/>
      <c r="B575" s="35"/>
      <c r="C575" s="35"/>
      <c r="D575" s="35"/>
      <c r="E575" s="35"/>
      <c r="F575" s="35"/>
      <c r="G575" s="35"/>
      <c r="H575" s="35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</row>
    <row r="576" spans="1:23" ht="12.75">
      <c r="A576" s="35"/>
      <c r="B576" s="35"/>
      <c r="C576" s="35"/>
      <c r="D576" s="35"/>
      <c r="E576" s="35"/>
      <c r="F576" s="35"/>
      <c r="G576" s="35"/>
      <c r="H576" s="35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</row>
    <row r="577" spans="1:23" ht="12.75">
      <c r="A577" s="35"/>
      <c r="B577" s="35"/>
      <c r="C577" s="35"/>
      <c r="D577" s="35"/>
      <c r="E577" s="35"/>
      <c r="F577" s="35"/>
      <c r="G577" s="35"/>
      <c r="H577" s="35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</row>
    <row r="578" spans="1:23" ht="12.75">
      <c r="A578" s="35"/>
      <c r="B578" s="35"/>
      <c r="C578" s="35"/>
      <c r="D578" s="35"/>
      <c r="E578" s="35"/>
      <c r="F578" s="35"/>
      <c r="G578" s="35"/>
      <c r="H578" s="35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</row>
    <row r="579" spans="1:23" ht="12.75">
      <c r="A579" s="35"/>
      <c r="B579" s="35"/>
      <c r="C579" s="35"/>
      <c r="D579" s="35"/>
      <c r="E579" s="35"/>
      <c r="F579" s="35"/>
      <c r="G579" s="35"/>
      <c r="H579" s="35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</row>
    <row r="580" spans="1:23" ht="12.75">
      <c r="A580" s="35"/>
      <c r="B580" s="35"/>
      <c r="C580" s="35"/>
      <c r="D580" s="35"/>
      <c r="E580" s="35"/>
      <c r="F580" s="35"/>
      <c r="G580" s="35"/>
      <c r="H580" s="35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</row>
    <row r="581" spans="1:23" ht="12.75">
      <c r="A581" s="35"/>
      <c r="B581" s="35"/>
      <c r="C581" s="35"/>
      <c r="D581" s="35"/>
      <c r="E581" s="35"/>
      <c r="F581" s="35"/>
      <c r="G581" s="35"/>
      <c r="H581" s="35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</row>
    <row r="582" spans="1:23" ht="12.75">
      <c r="A582" s="35"/>
      <c r="B582" s="35"/>
      <c r="C582" s="35"/>
      <c r="D582" s="35"/>
      <c r="E582" s="35"/>
      <c r="F582" s="35"/>
      <c r="G582" s="35"/>
      <c r="H582" s="35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</row>
    <row r="583" spans="1:23" ht="12.75">
      <c r="A583" s="35"/>
      <c r="B583" s="35"/>
      <c r="C583" s="35"/>
      <c r="D583" s="35"/>
      <c r="E583" s="35"/>
      <c r="F583" s="35"/>
      <c r="G583" s="35"/>
      <c r="H583" s="35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</row>
    <row r="584" spans="1:23" ht="12.75">
      <c r="A584" s="35"/>
      <c r="B584" s="35"/>
      <c r="C584" s="35"/>
      <c r="D584" s="35"/>
      <c r="E584" s="35"/>
      <c r="F584" s="35"/>
      <c r="G584" s="35"/>
      <c r="H584" s="35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</row>
    <row r="585" spans="1:23" ht="12.75">
      <c r="A585" s="35"/>
      <c r="B585" s="35"/>
      <c r="C585" s="35"/>
      <c r="D585" s="35"/>
      <c r="E585" s="35"/>
      <c r="F585" s="35"/>
      <c r="G585" s="35"/>
      <c r="H585" s="35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</row>
    <row r="586" spans="1:23" ht="12.75">
      <c r="A586" s="35"/>
      <c r="B586" s="35"/>
      <c r="C586" s="35"/>
      <c r="D586" s="35"/>
      <c r="E586" s="35"/>
      <c r="F586" s="35"/>
      <c r="G586" s="35"/>
      <c r="H586" s="35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</row>
    <row r="587" spans="1:23" ht="12.75">
      <c r="A587" s="35"/>
      <c r="B587" s="35"/>
      <c r="C587" s="35"/>
      <c r="D587" s="35"/>
      <c r="E587" s="35"/>
      <c r="F587" s="35"/>
      <c r="G587" s="35"/>
      <c r="H587" s="35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</row>
    <row r="588" spans="1:23" ht="12.75">
      <c r="A588" s="35"/>
      <c r="B588" s="35"/>
      <c r="C588" s="35"/>
      <c r="D588" s="35"/>
      <c r="E588" s="35"/>
      <c r="F588" s="35"/>
      <c r="G588" s="35"/>
      <c r="H588" s="35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</row>
    <row r="589" spans="1:23" ht="12.75">
      <c r="A589" s="35"/>
      <c r="B589" s="35"/>
      <c r="C589" s="35"/>
      <c r="D589" s="35"/>
      <c r="E589" s="35"/>
      <c r="F589" s="35"/>
      <c r="G589" s="35"/>
      <c r="H589" s="35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</row>
    <row r="590" spans="1:23" ht="12.75">
      <c r="A590" s="35"/>
      <c r="B590" s="35"/>
      <c r="C590" s="35"/>
      <c r="D590" s="35"/>
      <c r="E590" s="35"/>
      <c r="F590" s="35"/>
      <c r="G590" s="35"/>
      <c r="H590" s="35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</row>
    <row r="591" spans="1:23" ht="12.75">
      <c r="A591" s="35"/>
      <c r="B591" s="35"/>
      <c r="C591" s="35"/>
      <c r="D591" s="35"/>
      <c r="E591" s="35"/>
      <c r="F591" s="35"/>
      <c r="G591" s="35"/>
      <c r="H591" s="35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</row>
    <row r="592" spans="1:23" ht="12.75">
      <c r="A592" s="35"/>
      <c r="B592" s="35"/>
      <c r="C592" s="35"/>
      <c r="D592" s="35"/>
      <c r="E592" s="35"/>
      <c r="F592" s="35"/>
      <c r="G592" s="35"/>
      <c r="H592" s="35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</row>
    <row r="593" spans="1:23" ht="12.75">
      <c r="A593" s="35"/>
      <c r="B593" s="35"/>
      <c r="C593" s="35"/>
      <c r="D593" s="35"/>
      <c r="E593" s="35"/>
      <c r="F593" s="35"/>
      <c r="G593" s="35"/>
      <c r="H593" s="35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</row>
    <row r="594" spans="1:23" ht="12.75">
      <c r="A594" s="35"/>
      <c r="B594" s="35"/>
      <c r="C594" s="35"/>
      <c r="D594" s="35"/>
      <c r="E594" s="35"/>
      <c r="F594" s="35"/>
      <c r="G594" s="35"/>
      <c r="H594" s="35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</row>
    <row r="595" spans="1:23" ht="12.75">
      <c r="A595" s="35"/>
      <c r="B595" s="35"/>
      <c r="C595" s="35"/>
      <c r="D595" s="35"/>
      <c r="E595" s="35"/>
      <c r="F595" s="35"/>
      <c r="G595" s="35"/>
      <c r="H595" s="35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</row>
    <row r="596" spans="1:23" ht="12.75">
      <c r="A596" s="35"/>
      <c r="B596" s="35"/>
      <c r="C596" s="35"/>
      <c r="D596" s="35"/>
      <c r="E596" s="35"/>
      <c r="F596" s="35"/>
      <c r="G596" s="35"/>
      <c r="H596" s="35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</row>
    <row r="597" spans="1:23" ht="12.75">
      <c r="A597" s="35"/>
      <c r="B597" s="35"/>
      <c r="C597" s="35"/>
      <c r="D597" s="35"/>
      <c r="E597" s="35"/>
      <c r="F597" s="35"/>
      <c r="G597" s="35"/>
      <c r="H597" s="35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</row>
    <row r="598" spans="1:23" ht="12.75">
      <c r="A598" s="35"/>
      <c r="B598" s="35"/>
      <c r="C598" s="35"/>
      <c r="D598" s="35"/>
      <c r="E598" s="35"/>
      <c r="F598" s="35"/>
      <c r="G598" s="35"/>
      <c r="H598" s="35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</row>
    <row r="599" spans="1:23" ht="12.75">
      <c r="A599" s="35"/>
      <c r="B599" s="35"/>
      <c r="C599" s="35"/>
      <c r="D599" s="35"/>
      <c r="E599" s="35"/>
      <c r="F599" s="35"/>
      <c r="G599" s="35"/>
      <c r="H599" s="35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</row>
    <row r="600" spans="1:23" ht="12.75">
      <c r="A600" s="35"/>
      <c r="B600" s="35"/>
      <c r="C600" s="35"/>
      <c r="D600" s="35"/>
      <c r="E600" s="35"/>
      <c r="F600" s="35"/>
      <c r="G600" s="35"/>
      <c r="H600" s="35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</row>
    <row r="601" spans="1:23" ht="12.75">
      <c r="A601" s="35"/>
      <c r="B601" s="35"/>
      <c r="C601" s="35"/>
      <c r="D601" s="35"/>
      <c r="E601" s="35"/>
      <c r="F601" s="35"/>
      <c r="G601" s="35"/>
      <c r="H601" s="35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</row>
    <row r="602" spans="1:23" ht="12.75">
      <c r="A602" s="35"/>
      <c r="B602" s="35"/>
      <c r="C602" s="35"/>
      <c r="D602" s="35"/>
      <c r="E602" s="35"/>
      <c r="F602" s="35"/>
      <c r="G602" s="35"/>
      <c r="H602" s="35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</row>
    <row r="603" spans="1:23" ht="12.75">
      <c r="A603" s="35"/>
      <c r="B603" s="35"/>
      <c r="C603" s="35"/>
      <c r="D603" s="35"/>
      <c r="E603" s="35"/>
      <c r="F603" s="35"/>
      <c r="G603" s="35"/>
      <c r="H603" s="35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</row>
    <row r="604" spans="1:23" ht="12.75">
      <c r="A604" s="35"/>
      <c r="B604" s="35"/>
      <c r="C604" s="35"/>
      <c r="D604" s="35"/>
      <c r="E604" s="35"/>
      <c r="F604" s="35"/>
      <c r="G604" s="35"/>
      <c r="H604" s="35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</row>
    <row r="605" spans="1:23" ht="12.75">
      <c r="A605" s="35"/>
      <c r="B605" s="35"/>
      <c r="C605" s="35"/>
      <c r="D605" s="35"/>
      <c r="E605" s="35"/>
      <c r="F605" s="35"/>
      <c r="G605" s="35"/>
      <c r="H605" s="35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</row>
    <row r="606" spans="1:23" ht="12.75">
      <c r="A606" s="35"/>
      <c r="B606" s="35"/>
      <c r="C606" s="35"/>
      <c r="D606" s="35"/>
      <c r="E606" s="35"/>
      <c r="F606" s="35"/>
      <c r="G606" s="35"/>
      <c r="H606" s="35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</row>
    <row r="607" spans="1:23" ht="12.75">
      <c r="A607" s="35"/>
      <c r="B607" s="35"/>
      <c r="C607" s="35"/>
      <c r="D607" s="35"/>
      <c r="E607" s="35"/>
      <c r="F607" s="35"/>
      <c r="G607" s="35"/>
      <c r="H607" s="35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</row>
    <row r="608" spans="1:23" ht="12.75">
      <c r="A608" s="35"/>
      <c r="B608" s="35"/>
      <c r="C608" s="35"/>
      <c r="D608" s="35"/>
      <c r="E608" s="35"/>
      <c r="F608" s="35"/>
      <c r="G608" s="35"/>
      <c r="H608" s="35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</row>
    <row r="609" spans="1:23" ht="12.75">
      <c r="A609" s="35"/>
      <c r="B609" s="35"/>
      <c r="C609" s="35"/>
      <c r="D609" s="35"/>
      <c r="E609" s="35"/>
      <c r="F609" s="35"/>
      <c r="G609" s="35"/>
      <c r="H609" s="35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</row>
    <row r="610" spans="1:23" ht="12.75">
      <c r="A610" s="35"/>
      <c r="B610" s="35"/>
      <c r="C610" s="35"/>
      <c r="D610" s="35"/>
      <c r="E610" s="35"/>
      <c r="F610" s="35"/>
      <c r="G610" s="35"/>
      <c r="H610" s="35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</row>
    <row r="611" spans="1:23" ht="12.75">
      <c r="A611" s="35"/>
      <c r="B611" s="35"/>
      <c r="C611" s="35"/>
      <c r="D611" s="35"/>
      <c r="E611" s="35"/>
      <c r="F611" s="35"/>
      <c r="G611" s="35"/>
      <c r="H611" s="35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</row>
    <row r="612" spans="1:23" ht="12.75">
      <c r="A612" s="35"/>
      <c r="B612" s="35"/>
      <c r="C612" s="35"/>
      <c r="D612" s="35"/>
      <c r="E612" s="35"/>
      <c r="F612" s="35"/>
      <c r="G612" s="35"/>
      <c r="H612" s="35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</row>
    <row r="613" spans="1:23" ht="12.75">
      <c r="A613" s="35"/>
      <c r="B613" s="35"/>
      <c r="C613" s="35"/>
      <c r="D613" s="35"/>
      <c r="E613" s="35"/>
      <c r="F613" s="35"/>
      <c r="G613" s="35"/>
      <c r="H613" s="35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</row>
    <row r="614" spans="1:23" ht="12.75">
      <c r="A614" s="35"/>
      <c r="B614" s="35"/>
      <c r="C614" s="35"/>
      <c r="D614" s="35"/>
      <c r="E614" s="35"/>
      <c r="F614" s="35"/>
      <c r="G614" s="35"/>
      <c r="H614" s="35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</row>
    <row r="615" spans="1:23" ht="12.75">
      <c r="A615" s="35"/>
      <c r="B615" s="35"/>
      <c r="C615" s="35"/>
      <c r="D615" s="35"/>
      <c r="E615" s="35"/>
      <c r="F615" s="35"/>
      <c r="G615" s="35"/>
      <c r="H615" s="35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</row>
    <row r="616" spans="1:23" ht="12.75">
      <c r="A616" s="35"/>
      <c r="B616" s="35"/>
      <c r="C616" s="35"/>
      <c r="D616" s="35"/>
      <c r="E616" s="35"/>
      <c r="F616" s="35"/>
      <c r="G616" s="35"/>
      <c r="H616" s="35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</row>
    <row r="617" spans="1:23" ht="12.75">
      <c r="A617" s="35"/>
      <c r="B617" s="35"/>
      <c r="C617" s="35"/>
      <c r="D617" s="35"/>
      <c r="E617" s="35"/>
      <c r="F617" s="35"/>
      <c r="G617" s="35"/>
      <c r="H617" s="35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</row>
    <row r="618" spans="1:23" ht="12.75">
      <c r="A618" s="35"/>
      <c r="B618" s="35"/>
      <c r="C618" s="35"/>
      <c r="D618" s="35"/>
      <c r="E618" s="35"/>
      <c r="F618" s="35"/>
      <c r="G618" s="35"/>
      <c r="H618" s="35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</row>
    <row r="619" spans="1:23" ht="12.75">
      <c r="A619" s="35"/>
      <c r="B619" s="35"/>
      <c r="C619" s="35"/>
      <c r="D619" s="35"/>
      <c r="E619" s="35"/>
      <c r="F619" s="35"/>
      <c r="G619" s="35"/>
      <c r="H619" s="35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</row>
    <row r="620" spans="1:23" ht="12.75">
      <c r="A620" s="35"/>
      <c r="B620" s="35"/>
      <c r="C620" s="35"/>
      <c r="D620" s="35"/>
      <c r="E620" s="35"/>
      <c r="F620" s="35"/>
      <c r="G620" s="35"/>
      <c r="H620" s="35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</row>
    <row r="621" spans="1:23" ht="12.75">
      <c r="A621" s="35"/>
      <c r="B621" s="35"/>
      <c r="C621" s="35"/>
      <c r="D621" s="35"/>
      <c r="E621" s="35"/>
      <c r="F621" s="35"/>
      <c r="G621" s="35"/>
      <c r="H621" s="35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</row>
    <row r="622" spans="1:23" ht="12.75">
      <c r="A622" s="35"/>
      <c r="B622" s="35"/>
      <c r="C622" s="35"/>
      <c r="D622" s="35"/>
      <c r="E622" s="35"/>
      <c r="F622" s="35"/>
      <c r="G622" s="35"/>
      <c r="H622" s="35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</row>
    <row r="623" spans="1:23" ht="12.75">
      <c r="A623" s="35"/>
      <c r="B623" s="35"/>
      <c r="C623" s="35"/>
      <c r="D623" s="35"/>
      <c r="E623" s="35"/>
      <c r="F623" s="35"/>
      <c r="G623" s="35"/>
      <c r="H623" s="35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</row>
    <row r="624" spans="1:23" ht="12.75">
      <c r="A624" s="35"/>
      <c r="B624" s="35"/>
      <c r="C624" s="35"/>
      <c r="D624" s="35"/>
      <c r="E624" s="35"/>
      <c r="F624" s="35"/>
      <c r="G624" s="35"/>
      <c r="H624" s="35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</row>
    <row r="625" spans="1:23" ht="12.75">
      <c r="A625" s="35"/>
      <c r="B625" s="35"/>
      <c r="C625" s="35"/>
      <c r="D625" s="35"/>
      <c r="E625" s="35"/>
      <c r="F625" s="35"/>
      <c r="G625" s="35"/>
      <c r="H625" s="35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</row>
    <row r="626" spans="1:23" ht="12.75">
      <c r="A626" s="35"/>
      <c r="B626" s="35"/>
      <c r="C626" s="35"/>
      <c r="D626" s="35"/>
      <c r="E626" s="35"/>
      <c r="F626" s="35"/>
      <c r="G626" s="35"/>
      <c r="H626" s="35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</row>
    <row r="627" spans="1:23" ht="12.75">
      <c r="A627" s="35"/>
      <c r="B627" s="35"/>
      <c r="C627" s="35"/>
      <c r="D627" s="35"/>
      <c r="E627" s="35"/>
      <c r="F627" s="35"/>
      <c r="G627" s="35"/>
      <c r="H627" s="35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</row>
    <row r="628" spans="1:23" ht="12.75">
      <c r="A628" s="35"/>
      <c r="B628" s="35"/>
      <c r="C628" s="35"/>
      <c r="D628" s="35"/>
      <c r="E628" s="35"/>
      <c r="F628" s="35"/>
      <c r="G628" s="35"/>
      <c r="H628" s="35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</row>
    <row r="629" spans="1:23" ht="12.75">
      <c r="A629" s="35"/>
      <c r="B629" s="35"/>
      <c r="C629" s="35"/>
      <c r="D629" s="35"/>
      <c r="E629" s="35"/>
      <c r="F629" s="35"/>
      <c r="G629" s="35"/>
      <c r="H629" s="35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</row>
    <row r="630" spans="1:23" ht="12.75">
      <c r="A630" s="35"/>
      <c r="B630" s="35"/>
      <c r="C630" s="35"/>
      <c r="D630" s="35"/>
      <c r="E630" s="35"/>
      <c r="F630" s="35"/>
      <c r="G630" s="35"/>
      <c r="H630" s="35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</row>
    <row r="631" spans="1:23" ht="12.75">
      <c r="A631" s="35"/>
      <c r="B631" s="35"/>
      <c r="C631" s="35"/>
      <c r="D631" s="35"/>
      <c r="E631" s="35"/>
      <c r="F631" s="35"/>
      <c r="G631" s="35"/>
      <c r="H631" s="35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</row>
    <row r="632" spans="1:23" ht="12.75">
      <c r="A632" s="35"/>
      <c r="B632" s="35"/>
      <c r="C632" s="35"/>
      <c r="D632" s="35"/>
      <c r="E632" s="35"/>
      <c r="F632" s="35"/>
      <c r="G632" s="35"/>
      <c r="H632" s="35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</row>
    <row r="633" spans="1:23" ht="12.75">
      <c r="A633" s="35"/>
      <c r="B633" s="35"/>
      <c r="C633" s="35"/>
      <c r="D633" s="35"/>
      <c r="E633" s="35"/>
      <c r="F633" s="35"/>
      <c r="G633" s="35"/>
      <c r="H633" s="35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</row>
    <row r="634" spans="1:23" ht="12.75">
      <c r="A634" s="35"/>
      <c r="B634" s="35"/>
      <c r="C634" s="35"/>
      <c r="D634" s="35"/>
      <c r="E634" s="35"/>
      <c r="F634" s="35"/>
      <c r="G634" s="35"/>
      <c r="H634" s="35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</row>
    <row r="635" spans="1:23" ht="12.75">
      <c r="A635" s="35"/>
      <c r="B635" s="35"/>
      <c r="C635" s="35"/>
      <c r="D635" s="35"/>
      <c r="E635" s="35"/>
      <c r="F635" s="35"/>
      <c r="G635" s="35"/>
      <c r="H635" s="35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</row>
    <row r="636" spans="1:23" ht="12.75">
      <c r="A636" s="35"/>
      <c r="B636" s="35"/>
      <c r="C636" s="35"/>
      <c r="D636" s="35"/>
      <c r="E636" s="35"/>
      <c r="F636" s="35"/>
      <c r="G636" s="35"/>
      <c r="H636" s="35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</row>
    <row r="637" spans="1:23" ht="12.75">
      <c r="A637" s="35"/>
      <c r="B637" s="35"/>
      <c r="C637" s="35"/>
      <c r="D637" s="35"/>
      <c r="E637" s="35"/>
      <c r="F637" s="35"/>
      <c r="G637" s="35"/>
      <c r="H637" s="35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</row>
    <row r="638" spans="1:23" ht="12.75">
      <c r="A638" s="35"/>
      <c r="B638" s="35"/>
      <c r="C638" s="35"/>
      <c r="D638" s="35"/>
      <c r="E638" s="35"/>
      <c r="F638" s="35"/>
      <c r="G638" s="35"/>
      <c r="H638" s="35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</row>
    <row r="639" spans="1:23" ht="12.75">
      <c r="A639" s="35"/>
      <c r="B639" s="35"/>
      <c r="C639" s="35"/>
      <c r="D639" s="35"/>
      <c r="E639" s="35"/>
      <c r="F639" s="35"/>
      <c r="G639" s="35"/>
      <c r="H639" s="35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</row>
    <row r="640" spans="1:23" ht="12.75">
      <c r="A640" s="35"/>
      <c r="B640" s="35"/>
      <c r="C640" s="35"/>
      <c r="D640" s="35"/>
      <c r="E640" s="35"/>
      <c r="F640" s="35"/>
      <c r="G640" s="35"/>
      <c r="H640" s="35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</row>
    <row r="641" spans="1:23" ht="12.75">
      <c r="A641" s="35"/>
      <c r="B641" s="35"/>
      <c r="C641" s="35"/>
      <c r="D641" s="35"/>
      <c r="E641" s="35"/>
      <c r="F641" s="35"/>
      <c r="G641" s="35"/>
      <c r="H641" s="35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</row>
    <row r="642" spans="1:23" ht="12.75">
      <c r="A642" s="35"/>
      <c r="B642" s="35"/>
      <c r="C642" s="35"/>
      <c r="D642" s="35"/>
      <c r="E642" s="35"/>
      <c r="F642" s="35"/>
      <c r="G642" s="35"/>
      <c r="H642" s="35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</row>
    <row r="643" spans="1:23" ht="12.75">
      <c r="A643" s="35"/>
      <c r="B643" s="35"/>
      <c r="C643" s="35"/>
      <c r="D643" s="35"/>
      <c r="E643" s="35"/>
      <c r="F643" s="35"/>
      <c r="G643" s="35"/>
      <c r="H643" s="35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</row>
    <row r="644" spans="1:23" ht="12.75">
      <c r="A644" s="35"/>
      <c r="B644" s="35"/>
      <c r="C644" s="35"/>
      <c r="D644" s="35"/>
      <c r="E644" s="35"/>
      <c r="F644" s="35"/>
      <c r="G644" s="35"/>
      <c r="H644" s="35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</row>
    <row r="645" spans="1:23" ht="12.75">
      <c r="A645" s="35"/>
      <c r="B645" s="35"/>
      <c r="C645" s="35"/>
      <c r="D645" s="35"/>
      <c r="E645" s="35"/>
      <c r="F645" s="35"/>
      <c r="G645" s="35"/>
      <c r="H645" s="35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</row>
    <row r="646" spans="1:23" ht="12.75">
      <c r="A646" s="35"/>
      <c r="B646" s="35"/>
      <c r="C646" s="35"/>
      <c r="D646" s="35"/>
      <c r="E646" s="35"/>
      <c r="F646" s="35"/>
      <c r="G646" s="35"/>
      <c r="H646" s="35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</row>
    <row r="647" spans="1:23" ht="12.75">
      <c r="A647" s="35"/>
      <c r="B647" s="35"/>
      <c r="C647" s="35"/>
      <c r="D647" s="35"/>
      <c r="E647" s="35"/>
      <c r="F647" s="35"/>
      <c r="G647" s="35"/>
      <c r="H647" s="35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</row>
    <row r="648" spans="1:23" ht="12.75">
      <c r="A648" s="35"/>
      <c r="B648" s="35"/>
      <c r="C648" s="35"/>
      <c r="D648" s="35"/>
      <c r="E648" s="35"/>
      <c r="F648" s="35"/>
      <c r="G648" s="35"/>
      <c r="H648" s="35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</row>
    <row r="649" spans="1:23" ht="12.75">
      <c r="A649" s="35"/>
      <c r="B649" s="35"/>
      <c r="C649" s="35"/>
      <c r="D649" s="35"/>
      <c r="E649" s="35"/>
      <c r="F649" s="35"/>
      <c r="G649" s="35"/>
      <c r="H649" s="35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</row>
    <row r="650" spans="1:23" ht="12.75">
      <c r="A650" s="35"/>
      <c r="B650" s="35"/>
      <c r="C650" s="35"/>
      <c r="D650" s="35"/>
      <c r="E650" s="35"/>
      <c r="F650" s="35"/>
      <c r="G650" s="35"/>
      <c r="H650" s="35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</row>
    <row r="651" spans="1:23" ht="12.75">
      <c r="A651" s="35"/>
      <c r="B651" s="35"/>
      <c r="C651" s="35"/>
      <c r="D651" s="35"/>
      <c r="E651" s="35"/>
      <c r="F651" s="35"/>
      <c r="G651" s="35"/>
      <c r="H651" s="35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</row>
    <row r="652" spans="1:23" ht="12.75">
      <c r="A652" s="35"/>
      <c r="B652" s="35"/>
      <c r="C652" s="35"/>
      <c r="D652" s="35"/>
      <c r="E652" s="35"/>
      <c r="F652" s="35"/>
      <c r="G652" s="35"/>
      <c r="H652" s="35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</row>
    <row r="653" spans="1:23" ht="12.75">
      <c r="A653" s="35"/>
      <c r="B653" s="35"/>
      <c r="C653" s="35"/>
      <c r="D653" s="35"/>
      <c r="E653" s="35"/>
      <c r="F653" s="35"/>
      <c r="G653" s="35"/>
      <c r="H653" s="35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</row>
    <row r="654" spans="1:23" ht="12.75">
      <c r="A654" s="35"/>
      <c r="B654" s="35"/>
      <c r="C654" s="35"/>
      <c r="D654" s="35"/>
      <c r="E654" s="35"/>
      <c r="F654" s="35"/>
      <c r="G654" s="35"/>
      <c r="H654" s="35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</row>
    <row r="655" spans="1:23" ht="12.75">
      <c r="A655" s="35"/>
      <c r="B655" s="35"/>
      <c r="C655" s="35"/>
      <c r="D655" s="35"/>
      <c r="E655" s="35"/>
      <c r="F655" s="35"/>
      <c r="G655" s="35"/>
      <c r="H655" s="35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</row>
    <row r="656" spans="1:23" ht="12.75">
      <c r="A656" s="35"/>
      <c r="B656" s="35"/>
      <c r="C656" s="35"/>
      <c r="D656" s="35"/>
      <c r="E656" s="35"/>
      <c r="F656" s="35"/>
      <c r="G656" s="35"/>
      <c r="H656" s="35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</row>
    <row r="657" spans="1:23" ht="12.75">
      <c r="A657" s="35"/>
      <c r="B657" s="35"/>
      <c r="C657" s="35"/>
      <c r="D657" s="35"/>
      <c r="E657" s="35"/>
      <c r="F657" s="35"/>
      <c r="G657" s="35"/>
      <c r="H657" s="35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</row>
    <row r="658" spans="1:23" ht="12.75">
      <c r="A658" s="35"/>
      <c r="B658" s="35"/>
      <c r="C658" s="35"/>
      <c r="D658" s="35"/>
      <c r="E658" s="35"/>
      <c r="F658" s="35"/>
      <c r="G658" s="35"/>
      <c r="H658" s="35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</row>
    <row r="659" spans="1:23" ht="12.75">
      <c r="A659" s="35"/>
      <c r="B659" s="35"/>
      <c r="C659" s="35"/>
      <c r="D659" s="35"/>
      <c r="E659" s="35"/>
      <c r="F659" s="35"/>
      <c r="G659" s="35"/>
      <c r="H659" s="35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</row>
    <row r="660" spans="1:23" ht="12.75">
      <c r="A660" s="35"/>
      <c r="B660" s="35"/>
      <c r="C660" s="35"/>
      <c r="D660" s="35"/>
      <c r="E660" s="35"/>
      <c r="F660" s="35"/>
      <c r="G660" s="35"/>
      <c r="H660" s="35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</row>
    <row r="661" spans="1:23" ht="12.75">
      <c r="A661" s="35"/>
      <c r="B661" s="35"/>
      <c r="C661" s="35"/>
      <c r="D661" s="35"/>
      <c r="E661" s="35"/>
      <c r="F661" s="35"/>
      <c r="G661" s="35"/>
      <c r="H661" s="35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</row>
    <row r="662" spans="1:23" ht="12.75">
      <c r="A662" s="35"/>
      <c r="B662" s="35"/>
      <c r="C662" s="35"/>
      <c r="D662" s="35"/>
      <c r="E662" s="35"/>
      <c r="F662" s="35"/>
      <c r="G662" s="35"/>
      <c r="H662" s="35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</row>
    <row r="663" spans="1:23" ht="12.75">
      <c r="A663" s="35"/>
      <c r="B663" s="35"/>
      <c r="C663" s="35"/>
      <c r="D663" s="35"/>
      <c r="E663" s="35"/>
      <c r="F663" s="35"/>
      <c r="G663" s="35"/>
      <c r="H663" s="35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</row>
    <row r="664" spans="1:23" ht="12.75">
      <c r="A664" s="35"/>
      <c r="B664" s="35"/>
      <c r="C664" s="35"/>
      <c r="D664" s="35"/>
      <c r="E664" s="35"/>
      <c r="F664" s="35"/>
      <c r="G664" s="35"/>
      <c r="H664" s="35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</row>
    <row r="665" spans="1:23" ht="12.75">
      <c r="A665" s="35"/>
      <c r="B665" s="35"/>
      <c r="C665" s="35"/>
      <c r="D665" s="35"/>
      <c r="E665" s="35"/>
      <c r="F665" s="35"/>
      <c r="G665" s="35"/>
      <c r="H665" s="35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</row>
    <row r="666" spans="1:23" ht="12.75">
      <c r="A666" s="35"/>
      <c r="B666" s="35"/>
      <c r="C666" s="35"/>
      <c r="D666" s="35"/>
      <c r="E666" s="35"/>
      <c r="F666" s="35"/>
      <c r="G666" s="35"/>
      <c r="H666" s="35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</row>
    <row r="667" spans="1:23" ht="12.75">
      <c r="A667" s="35"/>
      <c r="B667" s="35"/>
      <c r="C667" s="35"/>
      <c r="D667" s="35"/>
      <c r="E667" s="35"/>
      <c r="F667" s="35"/>
      <c r="G667" s="35"/>
      <c r="H667" s="35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</row>
    <row r="668" spans="1:23" ht="12.75">
      <c r="A668" s="35"/>
      <c r="B668" s="35"/>
      <c r="C668" s="35"/>
      <c r="D668" s="35"/>
      <c r="E668" s="35"/>
      <c r="F668" s="35"/>
      <c r="G668" s="35"/>
      <c r="H668" s="35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</row>
    <row r="669" spans="1:23" ht="12.75">
      <c r="A669" s="35"/>
      <c r="B669" s="35"/>
      <c r="C669" s="35"/>
      <c r="D669" s="35"/>
      <c r="E669" s="35"/>
      <c r="F669" s="35"/>
      <c r="G669" s="35"/>
      <c r="H669" s="35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</row>
    <row r="670" spans="1:23" ht="12.75">
      <c r="A670" s="35"/>
      <c r="B670" s="35"/>
      <c r="C670" s="35"/>
      <c r="D670" s="35"/>
      <c r="E670" s="35"/>
      <c r="F670" s="35"/>
      <c r="G670" s="35"/>
      <c r="H670" s="35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</row>
    <row r="671" spans="1:23" ht="12.75">
      <c r="A671" s="35"/>
      <c r="B671" s="35"/>
      <c r="C671" s="35"/>
      <c r="D671" s="35"/>
      <c r="E671" s="35"/>
      <c r="F671" s="35"/>
      <c r="G671" s="35"/>
      <c r="H671" s="35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</row>
    <row r="672" spans="1:23" ht="12.75">
      <c r="A672" s="35"/>
      <c r="B672" s="35"/>
      <c r="C672" s="35"/>
      <c r="D672" s="35"/>
      <c r="E672" s="35"/>
      <c r="F672" s="35"/>
      <c r="G672" s="35"/>
      <c r="H672" s="35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</row>
    <row r="673" spans="1:23" ht="12.75">
      <c r="A673" s="35"/>
      <c r="B673" s="35"/>
      <c r="C673" s="35"/>
      <c r="D673" s="35"/>
      <c r="E673" s="35"/>
      <c r="F673" s="35"/>
      <c r="G673" s="35"/>
      <c r="H673" s="35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</row>
    <row r="674" spans="1:23" ht="12.75">
      <c r="A674" s="35"/>
      <c r="B674" s="35"/>
      <c r="C674" s="35"/>
      <c r="D674" s="35"/>
      <c r="E674" s="35"/>
      <c r="F674" s="35"/>
      <c r="G674" s="35"/>
      <c r="H674" s="35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</row>
    <row r="675" spans="1:23" ht="12.75">
      <c r="A675" s="35"/>
      <c r="B675" s="35"/>
      <c r="C675" s="35"/>
      <c r="D675" s="35"/>
      <c r="E675" s="35"/>
      <c r="F675" s="35"/>
      <c r="G675" s="35"/>
      <c r="H675" s="35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</row>
    <row r="676" spans="1:23" ht="12.75">
      <c r="A676" s="35"/>
      <c r="B676" s="35"/>
      <c r="C676" s="35"/>
      <c r="D676" s="35"/>
      <c r="E676" s="35"/>
      <c r="F676" s="35"/>
      <c r="G676" s="35"/>
      <c r="H676" s="35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</row>
    <row r="677" spans="1:23" ht="12.75">
      <c r="A677" s="35"/>
      <c r="B677" s="35"/>
      <c r="C677" s="35"/>
      <c r="D677" s="35"/>
      <c r="E677" s="35"/>
      <c r="F677" s="35"/>
      <c r="G677" s="35"/>
      <c r="H677" s="35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</row>
    <row r="678" spans="1:23" ht="12.75">
      <c r="A678" s="35"/>
      <c r="B678" s="35"/>
      <c r="C678" s="35"/>
      <c r="D678" s="35"/>
      <c r="E678" s="35"/>
      <c r="F678" s="35"/>
      <c r="G678" s="35"/>
      <c r="H678" s="35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</row>
    <row r="679" spans="1:23" ht="12.75">
      <c r="A679" s="35"/>
      <c r="B679" s="35"/>
      <c r="C679" s="35"/>
      <c r="D679" s="35"/>
      <c r="E679" s="35"/>
      <c r="F679" s="35"/>
      <c r="G679" s="35"/>
      <c r="H679" s="35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</row>
    <row r="680" spans="1:23" ht="12.75">
      <c r="A680" s="35"/>
      <c r="B680" s="35"/>
      <c r="C680" s="35"/>
      <c r="D680" s="35"/>
      <c r="E680" s="35"/>
      <c r="F680" s="35"/>
      <c r="G680" s="35"/>
      <c r="H680" s="35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</row>
    <row r="681" spans="1:23" ht="12.75">
      <c r="A681" s="35"/>
      <c r="B681" s="35"/>
      <c r="C681" s="35"/>
      <c r="D681" s="35"/>
      <c r="E681" s="35"/>
      <c r="F681" s="35"/>
      <c r="G681" s="35"/>
      <c r="H681" s="35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</row>
    <row r="682" spans="1:23" ht="12.75">
      <c r="A682" s="35"/>
      <c r="B682" s="35"/>
      <c r="C682" s="35"/>
      <c r="D682" s="35"/>
      <c r="E682" s="35"/>
      <c r="F682" s="35"/>
      <c r="G682" s="35"/>
      <c r="H682" s="35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</row>
    <row r="683" spans="1:23" ht="12.75">
      <c r="A683" s="35"/>
      <c r="B683" s="35"/>
      <c r="C683" s="35"/>
      <c r="D683" s="35"/>
      <c r="E683" s="35"/>
      <c r="F683" s="35"/>
      <c r="G683" s="35"/>
      <c r="H683" s="35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</row>
    <row r="684" spans="1:23" ht="12.75">
      <c r="A684" s="35"/>
      <c r="B684" s="35"/>
      <c r="C684" s="35"/>
      <c r="D684" s="35"/>
      <c r="E684" s="35"/>
      <c r="F684" s="35"/>
      <c r="G684" s="35"/>
      <c r="H684" s="35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</row>
    <row r="685" spans="1:23" ht="12.75">
      <c r="A685" s="35"/>
      <c r="B685" s="35"/>
      <c r="C685" s="35"/>
      <c r="D685" s="35"/>
      <c r="E685" s="35"/>
      <c r="F685" s="35"/>
      <c r="G685" s="35"/>
      <c r="H685" s="35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</row>
    <row r="686" spans="1:23" ht="12.75">
      <c r="A686" s="35"/>
      <c r="B686" s="35"/>
      <c r="C686" s="35"/>
      <c r="D686" s="35"/>
      <c r="E686" s="35"/>
      <c r="F686" s="35"/>
      <c r="G686" s="35"/>
      <c r="H686" s="35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</row>
    <row r="687" spans="1:23" ht="12.75">
      <c r="A687" s="35"/>
      <c r="B687" s="35"/>
      <c r="C687" s="35"/>
      <c r="D687" s="35"/>
      <c r="E687" s="35"/>
      <c r="F687" s="35"/>
      <c r="G687" s="35"/>
      <c r="H687" s="35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</row>
    <row r="688" spans="1:23" ht="12.75">
      <c r="A688" s="35"/>
      <c r="B688" s="35"/>
      <c r="C688" s="35"/>
      <c r="D688" s="35"/>
      <c r="E688" s="35"/>
      <c r="F688" s="35"/>
      <c r="G688" s="35"/>
      <c r="H688" s="35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</row>
    <row r="689" spans="1:23" ht="12.75">
      <c r="A689" s="35"/>
      <c r="B689" s="35"/>
      <c r="C689" s="35"/>
      <c r="D689" s="35"/>
      <c r="E689" s="35"/>
      <c r="F689" s="35"/>
      <c r="G689" s="35"/>
      <c r="H689" s="35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</row>
    <row r="690" spans="1:23" ht="12.75">
      <c r="A690" s="35"/>
      <c r="B690" s="35"/>
      <c r="C690" s="35"/>
      <c r="D690" s="35"/>
      <c r="E690" s="35"/>
      <c r="F690" s="35"/>
      <c r="G690" s="35"/>
      <c r="H690" s="35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</row>
    <row r="691" spans="1:23" ht="12.75">
      <c r="A691" s="35"/>
      <c r="B691" s="35"/>
      <c r="C691" s="35"/>
      <c r="D691" s="35"/>
      <c r="E691" s="35"/>
      <c r="F691" s="35"/>
      <c r="G691" s="35"/>
      <c r="H691" s="35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</row>
    <row r="692" spans="1:23" ht="12.75">
      <c r="A692" s="35"/>
      <c r="B692" s="35"/>
      <c r="C692" s="35"/>
      <c r="D692" s="35"/>
      <c r="E692" s="35"/>
      <c r="F692" s="35"/>
      <c r="G692" s="35"/>
      <c r="H692" s="35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</row>
    <row r="693" spans="1:23" ht="12.75">
      <c r="A693" s="35"/>
      <c r="B693" s="35"/>
      <c r="C693" s="35"/>
      <c r="D693" s="35"/>
      <c r="E693" s="35"/>
      <c r="F693" s="35"/>
      <c r="G693" s="35"/>
      <c r="H693" s="35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</row>
    <row r="694" spans="1:23" ht="12.75">
      <c r="A694" s="35"/>
      <c r="B694" s="35"/>
      <c r="C694" s="35"/>
      <c r="D694" s="35"/>
      <c r="E694" s="35"/>
      <c r="F694" s="35"/>
      <c r="G694" s="35"/>
      <c r="H694" s="35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</row>
    <row r="695" spans="1:23" ht="12.75">
      <c r="A695" s="35"/>
      <c r="B695" s="35"/>
      <c r="C695" s="35"/>
      <c r="D695" s="35"/>
      <c r="E695" s="35"/>
      <c r="F695" s="35"/>
      <c r="G695" s="35"/>
      <c r="H695" s="35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</row>
    <row r="696" spans="1:23" ht="12.75">
      <c r="A696" s="35"/>
      <c r="B696" s="35"/>
      <c r="C696" s="35"/>
      <c r="D696" s="35"/>
      <c r="E696" s="35"/>
      <c r="F696" s="35"/>
      <c r="G696" s="35"/>
      <c r="H696" s="35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</row>
    <row r="697" spans="1:23" ht="12.75">
      <c r="A697" s="35"/>
      <c r="B697" s="35"/>
      <c r="C697" s="35"/>
      <c r="D697" s="35"/>
      <c r="E697" s="35"/>
      <c r="F697" s="35"/>
      <c r="G697" s="35"/>
      <c r="H697" s="35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</row>
    <row r="698" spans="1:23" ht="12.75">
      <c r="A698" s="35"/>
      <c r="B698" s="35"/>
      <c r="C698" s="35"/>
      <c r="D698" s="35"/>
      <c r="E698" s="35"/>
      <c r="F698" s="35"/>
      <c r="G698" s="35"/>
      <c r="H698" s="35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</row>
    <row r="699" spans="1:23" ht="12.75">
      <c r="A699" s="35"/>
      <c r="B699" s="35"/>
      <c r="C699" s="35"/>
      <c r="D699" s="35"/>
      <c r="E699" s="35"/>
      <c r="F699" s="35"/>
      <c r="G699" s="35"/>
      <c r="H699" s="35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</row>
    <row r="700" spans="1:23" ht="12.75">
      <c r="A700" s="35"/>
      <c r="B700" s="35"/>
      <c r="C700" s="35"/>
      <c r="D700" s="35"/>
      <c r="E700" s="35"/>
      <c r="F700" s="35"/>
      <c r="G700" s="35"/>
      <c r="H700" s="35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</row>
    <row r="701" spans="1:23" ht="12.75">
      <c r="A701" s="35"/>
      <c r="B701" s="35"/>
      <c r="C701" s="35"/>
      <c r="D701" s="35"/>
      <c r="E701" s="35"/>
      <c r="F701" s="35"/>
      <c r="G701" s="35"/>
      <c r="H701" s="35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</row>
    <row r="702" spans="1:23" ht="12.75">
      <c r="A702" s="35"/>
      <c r="B702" s="35"/>
      <c r="C702" s="35"/>
      <c r="D702" s="35"/>
      <c r="E702" s="35"/>
      <c r="F702" s="35"/>
      <c r="G702" s="35"/>
      <c r="H702" s="35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</row>
    <row r="703" spans="1:23" ht="12.75">
      <c r="A703" s="35"/>
      <c r="B703" s="35"/>
      <c r="C703" s="35"/>
      <c r="D703" s="35"/>
      <c r="E703" s="35"/>
      <c r="F703" s="35"/>
      <c r="G703" s="35"/>
      <c r="H703" s="35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</row>
    <row r="704" spans="1:23" ht="12.75">
      <c r="A704" s="35"/>
      <c r="B704" s="35"/>
      <c r="C704" s="35"/>
      <c r="D704" s="35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</row>
    <row r="705" spans="1:23" ht="12.75">
      <c r="A705" s="35"/>
      <c r="B705" s="35"/>
      <c r="C705" s="35"/>
      <c r="D705" s="35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</row>
    <row r="706" spans="1:23" ht="12.75">
      <c r="A706" s="35"/>
      <c r="B706" s="35"/>
      <c r="C706" s="35"/>
      <c r="D706" s="35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</row>
    <row r="707" spans="1:23" ht="12.75">
      <c r="A707" s="35"/>
      <c r="B707" s="35"/>
      <c r="C707" s="35"/>
      <c r="D707" s="35"/>
      <c r="E707" s="35"/>
      <c r="F707" s="35"/>
      <c r="G707" s="35"/>
      <c r="H707" s="35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</row>
    <row r="708" spans="1:23" ht="12.75">
      <c r="A708" s="35"/>
      <c r="B708" s="35"/>
      <c r="C708" s="35"/>
      <c r="D708" s="35"/>
      <c r="E708" s="35"/>
      <c r="F708" s="35"/>
      <c r="G708" s="35"/>
      <c r="H708" s="35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</row>
    <row r="709" spans="1:23" ht="12.75">
      <c r="A709" s="35"/>
      <c r="B709" s="35"/>
      <c r="C709" s="35"/>
      <c r="D709" s="35"/>
      <c r="E709" s="35"/>
      <c r="F709" s="35"/>
      <c r="G709" s="35"/>
      <c r="H709" s="35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</row>
    <row r="710" spans="1:23" ht="12.75">
      <c r="A710" s="35"/>
      <c r="B710" s="35"/>
      <c r="C710" s="35"/>
      <c r="D710" s="35"/>
      <c r="E710" s="35"/>
      <c r="F710" s="35"/>
      <c r="G710" s="35"/>
      <c r="H710" s="35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</row>
    <row r="711" spans="1:23" ht="12.75">
      <c r="A711" s="35"/>
      <c r="B711" s="35"/>
      <c r="C711" s="35"/>
      <c r="D711" s="35"/>
      <c r="E711" s="35"/>
      <c r="F711" s="35"/>
      <c r="G711" s="35"/>
      <c r="H711" s="35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</row>
    <row r="712" spans="1:23" ht="12.75">
      <c r="A712" s="35"/>
      <c r="B712" s="35"/>
      <c r="C712" s="35"/>
      <c r="D712" s="35"/>
      <c r="E712" s="35"/>
      <c r="F712" s="35"/>
      <c r="G712" s="35"/>
      <c r="H712" s="35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</row>
    <row r="713" spans="1:23" ht="12.75">
      <c r="A713" s="35"/>
      <c r="B713" s="35"/>
      <c r="C713" s="35"/>
      <c r="D713" s="35"/>
      <c r="E713" s="35"/>
      <c r="F713" s="35"/>
      <c r="G713" s="35"/>
      <c r="H713" s="35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</row>
    <row r="714" spans="1:23" ht="12.75">
      <c r="A714" s="35"/>
      <c r="B714" s="35"/>
      <c r="C714" s="35"/>
      <c r="D714" s="35"/>
      <c r="E714" s="35"/>
      <c r="F714" s="35"/>
      <c r="G714" s="35"/>
      <c r="H714" s="35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</row>
    <row r="715" spans="1:23" ht="12.75">
      <c r="A715" s="35"/>
      <c r="B715" s="35"/>
      <c r="C715" s="35"/>
      <c r="D715" s="35"/>
      <c r="E715" s="35"/>
      <c r="F715" s="35"/>
      <c r="G715" s="35"/>
      <c r="H715" s="35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</row>
    <row r="716" spans="1:23" ht="12.75">
      <c r="A716" s="35"/>
      <c r="B716" s="35"/>
      <c r="C716" s="35"/>
      <c r="D716" s="35"/>
      <c r="E716" s="35"/>
      <c r="F716" s="35"/>
      <c r="G716" s="35"/>
      <c r="H716" s="35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</row>
    <row r="717" spans="1:23" ht="12.75">
      <c r="A717" s="35"/>
      <c r="B717" s="35"/>
      <c r="C717" s="35"/>
      <c r="D717" s="35"/>
      <c r="E717" s="35"/>
      <c r="F717" s="35"/>
      <c r="G717" s="35"/>
      <c r="H717" s="35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</row>
    <row r="718" spans="1:23" ht="12.75">
      <c r="A718" s="35"/>
      <c r="B718" s="35"/>
      <c r="C718" s="35"/>
      <c r="D718" s="35"/>
      <c r="E718" s="35"/>
      <c r="F718" s="35"/>
      <c r="G718" s="35"/>
      <c r="H718" s="35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</row>
    <row r="719" spans="1:23" ht="12.75">
      <c r="A719" s="35"/>
      <c r="B719" s="35"/>
      <c r="C719" s="35"/>
      <c r="D719" s="35"/>
      <c r="E719" s="35"/>
      <c r="F719" s="35"/>
      <c r="G719" s="35"/>
      <c r="H719" s="35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</row>
    <row r="720" spans="1:23" ht="12.75">
      <c r="A720" s="35"/>
      <c r="B720" s="35"/>
      <c r="C720" s="35"/>
      <c r="D720" s="35"/>
      <c r="E720" s="35"/>
      <c r="F720" s="35"/>
      <c r="G720" s="35"/>
      <c r="H720" s="35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</row>
    <row r="721" spans="1:23" ht="12.75">
      <c r="A721" s="35"/>
      <c r="B721" s="35"/>
      <c r="C721" s="35"/>
      <c r="D721" s="35"/>
      <c r="E721" s="35"/>
      <c r="F721" s="35"/>
      <c r="G721" s="35"/>
      <c r="H721" s="35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</row>
    <row r="722" spans="1:23" ht="12.75">
      <c r="A722" s="35"/>
      <c r="B722" s="35"/>
      <c r="C722" s="35"/>
      <c r="D722" s="35"/>
      <c r="E722" s="35"/>
      <c r="F722" s="35"/>
      <c r="G722" s="35"/>
      <c r="H722" s="35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</row>
    <row r="723" spans="1:23" ht="12.75">
      <c r="A723" s="35"/>
      <c r="B723" s="35"/>
      <c r="C723" s="35"/>
      <c r="D723" s="35"/>
      <c r="E723" s="35"/>
      <c r="F723" s="35"/>
      <c r="G723" s="35"/>
      <c r="H723" s="35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</row>
    <row r="724" spans="1:23" ht="12.75">
      <c r="A724" s="35"/>
      <c r="B724" s="35"/>
      <c r="C724" s="35"/>
      <c r="D724" s="35"/>
      <c r="E724" s="35"/>
      <c r="F724" s="35"/>
      <c r="G724" s="35"/>
      <c r="H724" s="35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</row>
    <row r="725" spans="1:23" ht="12.75">
      <c r="A725" s="35"/>
      <c r="B725" s="35"/>
      <c r="C725" s="35"/>
      <c r="D725" s="35"/>
      <c r="E725" s="35"/>
      <c r="F725" s="35"/>
      <c r="G725" s="35"/>
      <c r="H725" s="35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</row>
    <row r="726" spans="1:23" ht="12.75">
      <c r="A726" s="35"/>
      <c r="B726" s="35"/>
      <c r="C726" s="35"/>
      <c r="D726" s="35"/>
      <c r="E726" s="35"/>
      <c r="F726" s="35"/>
      <c r="G726" s="35"/>
      <c r="H726" s="35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</row>
    <row r="727" spans="1:23" ht="12.75">
      <c r="A727" s="35"/>
      <c r="B727" s="35"/>
      <c r="C727" s="35"/>
      <c r="D727" s="35"/>
      <c r="E727" s="35"/>
      <c r="F727" s="35"/>
      <c r="G727" s="35"/>
      <c r="H727" s="35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</row>
    <row r="728" spans="1:23" ht="12.75">
      <c r="A728" s="35"/>
      <c r="B728" s="35"/>
      <c r="C728" s="35"/>
      <c r="D728" s="35"/>
      <c r="E728" s="35"/>
      <c r="F728" s="35"/>
      <c r="G728" s="35"/>
      <c r="H728" s="35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</row>
    <row r="729" spans="1:23" ht="12.75">
      <c r="A729" s="35"/>
      <c r="B729" s="35"/>
      <c r="C729" s="35"/>
      <c r="D729" s="35"/>
      <c r="E729" s="35"/>
      <c r="F729" s="35"/>
      <c r="G729" s="35"/>
      <c r="H729" s="35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</row>
    <row r="730" spans="1:23" ht="12.75">
      <c r="A730" s="35"/>
      <c r="B730" s="35"/>
      <c r="C730" s="35"/>
      <c r="D730" s="35"/>
      <c r="E730" s="35"/>
      <c r="F730" s="35"/>
      <c r="G730" s="35"/>
      <c r="H730" s="35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</row>
    <row r="731" spans="1:23" ht="12.75">
      <c r="A731" s="35"/>
      <c r="B731" s="35"/>
      <c r="C731" s="35"/>
      <c r="D731" s="35"/>
      <c r="E731" s="35"/>
      <c r="F731" s="35"/>
      <c r="G731" s="35"/>
      <c r="H731" s="35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</row>
    <row r="732" spans="1:23" ht="12.75">
      <c r="A732" s="35"/>
      <c r="B732" s="35"/>
      <c r="C732" s="35"/>
      <c r="D732" s="35"/>
      <c r="E732" s="35"/>
      <c r="F732" s="35"/>
      <c r="G732" s="35"/>
      <c r="H732" s="35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</row>
    <row r="733" spans="1:23" ht="12.75">
      <c r="A733" s="35"/>
      <c r="B733" s="35"/>
      <c r="C733" s="35"/>
      <c r="D733" s="35"/>
      <c r="E733" s="35"/>
      <c r="F733" s="35"/>
      <c r="G733" s="35"/>
      <c r="H733" s="35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</row>
    <row r="734" spans="1:23" ht="12.75">
      <c r="A734" s="35"/>
      <c r="B734" s="35"/>
      <c r="C734" s="35"/>
      <c r="D734" s="35"/>
      <c r="E734" s="35"/>
      <c r="F734" s="35"/>
      <c r="G734" s="35"/>
      <c r="H734" s="35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</row>
    <row r="735" spans="1:23" ht="12.75">
      <c r="A735" s="35"/>
      <c r="B735" s="35"/>
      <c r="C735" s="35"/>
      <c r="D735" s="35"/>
      <c r="E735" s="35"/>
      <c r="F735" s="35"/>
      <c r="G735" s="35"/>
      <c r="H735" s="35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</row>
    <row r="736" spans="1:23" ht="12.75">
      <c r="A736" s="35"/>
      <c r="B736" s="35"/>
      <c r="C736" s="35"/>
      <c r="D736" s="35"/>
      <c r="E736" s="35"/>
      <c r="F736" s="35"/>
      <c r="G736" s="35"/>
      <c r="H736" s="35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</row>
    <row r="737" spans="1:23" ht="12.75">
      <c r="A737" s="35"/>
      <c r="B737" s="35"/>
      <c r="C737" s="35"/>
      <c r="D737" s="35"/>
      <c r="E737" s="35"/>
      <c r="F737" s="35"/>
      <c r="G737" s="35"/>
      <c r="H737" s="35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</row>
    <row r="738" spans="1:23" ht="12.75">
      <c r="A738" s="35"/>
      <c r="B738" s="35"/>
      <c r="C738" s="35"/>
      <c r="D738" s="35"/>
      <c r="E738" s="35"/>
      <c r="F738" s="35"/>
      <c r="G738" s="35"/>
      <c r="H738" s="35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</row>
    <row r="739" spans="1:23" ht="12.75">
      <c r="A739" s="35"/>
      <c r="B739" s="35"/>
      <c r="C739" s="35"/>
      <c r="D739" s="35"/>
      <c r="E739" s="35"/>
      <c r="F739" s="35"/>
      <c r="G739" s="35"/>
      <c r="H739" s="35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</row>
    <row r="740" spans="1:23" ht="12.75">
      <c r="A740" s="35"/>
      <c r="B740" s="35"/>
      <c r="C740" s="35"/>
      <c r="D740" s="35"/>
      <c r="E740" s="35"/>
      <c r="F740" s="35"/>
      <c r="G740" s="35"/>
      <c r="H740" s="35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</row>
    <row r="741" spans="1:23" ht="12.75">
      <c r="A741" s="35"/>
      <c r="B741" s="35"/>
      <c r="C741" s="35"/>
      <c r="D741" s="35"/>
      <c r="E741" s="35"/>
      <c r="F741" s="35"/>
      <c r="G741" s="35"/>
      <c r="H741" s="35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</row>
    <row r="742" spans="1:23" ht="12.75">
      <c r="A742" s="35"/>
      <c r="B742" s="35"/>
      <c r="C742" s="35"/>
      <c r="D742" s="35"/>
      <c r="E742" s="35"/>
      <c r="F742" s="35"/>
      <c r="G742" s="35"/>
      <c r="H742" s="35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</row>
    <row r="743" spans="1:23" ht="12.75">
      <c r="A743" s="35"/>
      <c r="B743" s="35"/>
      <c r="C743" s="35"/>
      <c r="D743" s="35"/>
      <c r="E743" s="35"/>
      <c r="F743" s="35"/>
      <c r="G743" s="35"/>
      <c r="H743" s="35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</row>
    <row r="744" spans="1:23" ht="12.75">
      <c r="A744" s="35"/>
      <c r="B744" s="35"/>
      <c r="C744" s="35"/>
      <c r="D744" s="35"/>
      <c r="E744" s="35"/>
      <c r="F744" s="35"/>
      <c r="G744" s="35"/>
      <c r="H744" s="35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</row>
    <row r="745" spans="1:23" ht="12.75">
      <c r="A745" s="35"/>
      <c r="B745" s="35"/>
      <c r="C745" s="35"/>
      <c r="D745" s="35"/>
      <c r="E745" s="35"/>
      <c r="F745" s="35"/>
      <c r="G745" s="35"/>
      <c r="H745" s="35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</row>
    <row r="746" spans="1:23" ht="12.75">
      <c r="A746" s="35"/>
      <c r="B746" s="35"/>
      <c r="C746" s="35"/>
      <c r="D746" s="35"/>
      <c r="E746" s="35"/>
      <c r="F746" s="35"/>
      <c r="G746" s="35"/>
      <c r="H746" s="35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</row>
    <row r="747" spans="1:23" ht="12.75">
      <c r="A747" s="35"/>
      <c r="B747" s="35"/>
      <c r="C747" s="35"/>
      <c r="D747" s="35"/>
      <c r="E747" s="35"/>
      <c r="F747" s="35"/>
      <c r="G747" s="35"/>
      <c r="H747" s="35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</row>
    <row r="748" spans="1:23" ht="12.75">
      <c r="A748" s="35"/>
      <c r="B748" s="35"/>
      <c r="C748" s="35"/>
      <c r="D748" s="35"/>
      <c r="E748" s="35"/>
      <c r="F748" s="35"/>
      <c r="G748" s="35"/>
      <c r="H748" s="35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</row>
    <row r="749" spans="1:23" ht="12.75">
      <c r="A749" s="35"/>
      <c r="B749" s="35"/>
      <c r="C749" s="35"/>
      <c r="D749" s="35"/>
      <c r="E749" s="35"/>
      <c r="F749" s="35"/>
      <c r="G749" s="35"/>
      <c r="H749" s="35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</row>
    <row r="750" spans="1:23" ht="12.75">
      <c r="A750" s="35"/>
      <c r="B750" s="35"/>
      <c r="C750" s="35"/>
      <c r="D750" s="35"/>
      <c r="E750" s="35"/>
      <c r="F750" s="35"/>
      <c r="G750" s="35"/>
      <c r="H750" s="35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</row>
    <row r="751" spans="1:23" ht="12.75">
      <c r="A751" s="35"/>
      <c r="B751" s="35"/>
      <c r="C751" s="35"/>
      <c r="D751" s="35"/>
      <c r="E751" s="35"/>
      <c r="F751" s="35"/>
      <c r="G751" s="35"/>
      <c r="H751" s="35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</row>
    <row r="752" spans="1:23" ht="12.75">
      <c r="A752" s="35"/>
      <c r="B752" s="35"/>
      <c r="C752" s="35"/>
      <c r="D752" s="35"/>
      <c r="E752" s="35"/>
      <c r="F752" s="35"/>
      <c r="G752" s="35"/>
      <c r="H752" s="35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</row>
    <row r="753" spans="1:23" ht="12.75">
      <c r="A753" s="35"/>
      <c r="B753" s="35"/>
      <c r="C753" s="35"/>
      <c r="D753" s="35"/>
      <c r="E753" s="35"/>
      <c r="F753" s="35"/>
      <c r="G753" s="35"/>
      <c r="H753" s="35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</row>
    <row r="754" spans="1:23" ht="12.75">
      <c r="A754" s="35"/>
      <c r="B754" s="35"/>
      <c r="C754" s="35"/>
      <c r="D754" s="35"/>
      <c r="E754" s="35"/>
      <c r="F754" s="35"/>
      <c r="G754" s="35"/>
      <c r="H754" s="35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</row>
    <row r="755" spans="1:23" ht="12.75">
      <c r="A755" s="35"/>
      <c r="B755" s="35"/>
      <c r="C755" s="35"/>
      <c r="D755" s="35"/>
      <c r="E755" s="35"/>
      <c r="F755" s="35"/>
      <c r="G755" s="35"/>
      <c r="H755" s="35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</row>
    <row r="756" spans="1:23" ht="12.75">
      <c r="A756" s="35"/>
      <c r="B756" s="35"/>
      <c r="C756" s="35"/>
      <c r="D756" s="35"/>
      <c r="E756" s="35"/>
      <c r="F756" s="35"/>
      <c r="G756" s="35"/>
      <c r="H756" s="35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</row>
    <row r="757" spans="1:23" ht="12.75">
      <c r="A757" s="35"/>
      <c r="B757" s="35"/>
      <c r="C757" s="35"/>
      <c r="D757" s="35"/>
      <c r="E757" s="35"/>
      <c r="F757" s="35"/>
      <c r="G757" s="35"/>
      <c r="H757" s="35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</row>
    <row r="758" spans="1:23" ht="12.75">
      <c r="A758" s="35"/>
      <c r="B758" s="35"/>
      <c r="C758" s="35"/>
      <c r="D758" s="35"/>
      <c r="E758" s="35"/>
      <c r="F758" s="35"/>
      <c r="G758" s="35"/>
      <c r="H758" s="35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</row>
    <row r="759" spans="1:23" ht="12.75">
      <c r="A759" s="35"/>
      <c r="B759" s="35"/>
      <c r="C759" s="35"/>
      <c r="D759" s="35"/>
      <c r="E759" s="35"/>
      <c r="F759" s="35"/>
      <c r="G759" s="35"/>
      <c r="H759" s="35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</row>
    <row r="760" spans="1:23" ht="12.75">
      <c r="A760" s="35"/>
      <c r="B760" s="35"/>
      <c r="C760" s="35"/>
      <c r="D760" s="35"/>
      <c r="E760" s="35"/>
      <c r="F760" s="35"/>
      <c r="G760" s="35"/>
      <c r="H760" s="35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</row>
    <row r="761" spans="1:23" ht="12.75">
      <c r="A761" s="35"/>
      <c r="B761" s="35"/>
      <c r="C761" s="35"/>
      <c r="D761" s="35"/>
      <c r="E761" s="35"/>
      <c r="F761" s="35"/>
      <c r="G761" s="35"/>
      <c r="H761" s="35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</row>
    <row r="762" spans="1:23" ht="12.75">
      <c r="A762" s="35"/>
      <c r="B762" s="35"/>
      <c r="C762" s="35"/>
      <c r="D762" s="35"/>
      <c r="E762" s="35"/>
      <c r="F762" s="35"/>
      <c r="G762" s="35"/>
      <c r="H762" s="35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</row>
    <row r="763" spans="1:23" ht="12.75">
      <c r="A763" s="35"/>
      <c r="B763" s="35"/>
      <c r="C763" s="35"/>
      <c r="D763" s="35"/>
      <c r="E763" s="35"/>
      <c r="F763" s="35"/>
      <c r="G763" s="35"/>
      <c r="H763" s="35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</row>
    <row r="764" spans="1:23" ht="12.75">
      <c r="A764" s="35"/>
      <c r="B764" s="35"/>
      <c r="C764" s="35"/>
      <c r="D764" s="35"/>
      <c r="E764" s="35"/>
      <c r="F764" s="35"/>
      <c r="G764" s="35"/>
      <c r="H764" s="35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</row>
    <row r="765" spans="1:23" ht="12.75">
      <c r="A765" s="35"/>
      <c r="B765" s="35"/>
      <c r="C765" s="35"/>
      <c r="D765" s="35"/>
      <c r="E765" s="35"/>
      <c r="F765" s="35"/>
      <c r="G765" s="35"/>
      <c r="H765" s="35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</row>
    <row r="766" spans="1:23" ht="12.75">
      <c r="A766" s="35"/>
      <c r="B766" s="35"/>
      <c r="C766" s="35"/>
      <c r="D766" s="35"/>
      <c r="E766" s="35"/>
      <c r="F766" s="35"/>
      <c r="G766" s="35"/>
      <c r="H766" s="35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</row>
    <row r="767" spans="1:23" ht="12.75">
      <c r="A767" s="35"/>
      <c r="B767" s="35"/>
      <c r="C767" s="35"/>
      <c r="D767" s="35"/>
      <c r="E767" s="35"/>
      <c r="F767" s="35"/>
      <c r="G767" s="35"/>
      <c r="H767" s="35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</row>
    <row r="768" spans="1:23" ht="12.75">
      <c r="A768" s="35"/>
      <c r="B768" s="35"/>
      <c r="C768" s="35"/>
      <c r="D768" s="35"/>
      <c r="E768" s="35"/>
      <c r="F768" s="35"/>
      <c r="G768" s="35"/>
      <c r="H768" s="35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</row>
    <row r="769" spans="1:23" ht="12.75">
      <c r="A769" s="35"/>
      <c r="B769" s="35"/>
      <c r="C769" s="35"/>
      <c r="D769" s="35"/>
      <c r="E769" s="35"/>
      <c r="F769" s="35"/>
      <c r="G769" s="35"/>
      <c r="H769" s="35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</row>
    <row r="770" spans="1:23" ht="12.75">
      <c r="A770" s="35"/>
      <c r="B770" s="35"/>
      <c r="C770" s="35"/>
      <c r="D770" s="35"/>
      <c r="E770" s="35"/>
      <c r="F770" s="35"/>
      <c r="G770" s="35"/>
      <c r="H770" s="35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</row>
    <row r="771" spans="1:23" ht="12.75">
      <c r="A771" s="35"/>
      <c r="B771" s="35"/>
      <c r="C771" s="35"/>
      <c r="D771" s="35"/>
      <c r="E771" s="35"/>
      <c r="F771" s="35"/>
      <c r="G771" s="35"/>
      <c r="H771" s="35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</row>
    <row r="772" spans="1:23" ht="12.75">
      <c r="A772" s="35"/>
      <c r="B772" s="35"/>
      <c r="C772" s="35"/>
      <c r="D772" s="35"/>
      <c r="E772" s="35"/>
      <c r="F772" s="35"/>
      <c r="G772" s="35"/>
      <c r="H772" s="35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</row>
    <row r="773" spans="1:23" ht="12.75">
      <c r="A773" s="35"/>
      <c r="B773" s="35"/>
      <c r="C773" s="35"/>
      <c r="D773" s="35"/>
      <c r="E773" s="35"/>
      <c r="F773" s="35"/>
      <c r="G773" s="35"/>
      <c r="H773" s="35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</row>
    <row r="774" spans="1:23" ht="12.75">
      <c r="A774" s="35"/>
      <c r="B774" s="35"/>
      <c r="C774" s="35"/>
      <c r="D774" s="35"/>
      <c r="E774" s="35"/>
      <c r="F774" s="35"/>
      <c r="G774" s="35"/>
      <c r="H774" s="35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</row>
    <row r="775" spans="1:23" ht="12.75">
      <c r="A775" s="35"/>
      <c r="B775" s="35"/>
      <c r="C775" s="35"/>
      <c r="D775" s="35"/>
      <c r="E775" s="35"/>
      <c r="F775" s="35"/>
      <c r="G775" s="35"/>
      <c r="H775" s="35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</row>
    <row r="776" spans="1:23" ht="12.75">
      <c r="A776" s="35"/>
      <c r="B776" s="35"/>
      <c r="C776" s="35"/>
      <c r="D776" s="35"/>
      <c r="E776" s="35"/>
      <c r="F776" s="35"/>
      <c r="G776" s="35"/>
      <c r="H776" s="35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</row>
    <row r="777" spans="1:23" ht="12.75">
      <c r="A777" s="35"/>
      <c r="B777" s="35"/>
      <c r="C777" s="35"/>
      <c r="D777" s="35"/>
      <c r="E777" s="35"/>
      <c r="F777" s="35"/>
      <c r="G777" s="35"/>
      <c r="H777" s="35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</row>
    <row r="778" spans="1:23" ht="12.75">
      <c r="A778" s="35"/>
      <c r="B778" s="35"/>
      <c r="C778" s="35"/>
      <c r="D778" s="35"/>
      <c r="E778" s="35"/>
      <c r="F778" s="35"/>
      <c r="G778" s="35"/>
      <c r="H778" s="35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</row>
    <row r="779" spans="1:23" ht="12.75">
      <c r="A779" s="35"/>
      <c r="B779" s="35"/>
      <c r="C779" s="35"/>
      <c r="D779" s="35"/>
      <c r="E779" s="35"/>
      <c r="F779" s="35"/>
      <c r="G779" s="35"/>
      <c r="H779" s="35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</row>
    <row r="780" spans="1:23" ht="12.75">
      <c r="A780" s="35"/>
      <c r="B780" s="35"/>
      <c r="C780" s="35"/>
      <c r="D780" s="35"/>
      <c r="E780" s="35"/>
      <c r="F780" s="35"/>
      <c r="G780" s="35"/>
      <c r="H780" s="35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</row>
    <row r="781" spans="1:23" ht="12.75">
      <c r="A781" s="35"/>
      <c r="B781" s="35"/>
      <c r="C781" s="35"/>
      <c r="D781" s="35"/>
      <c r="E781" s="35"/>
      <c r="F781" s="35"/>
      <c r="G781" s="35"/>
      <c r="H781" s="35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</row>
    <row r="782" spans="1:23" ht="12.75">
      <c r="A782" s="35"/>
      <c r="B782" s="35"/>
      <c r="C782" s="35"/>
      <c r="D782" s="35"/>
      <c r="E782" s="35"/>
      <c r="F782" s="35"/>
      <c r="G782" s="35"/>
      <c r="H782" s="35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</row>
    <row r="783" spans="1:23" ht="12.75">
      <c r="A783" s="35"/>
      <c r="B783" s="35"/>
      <c r="C783" s="35"/>
      <c r="D783" s="35"/>
      <c r="E783" s="35"/>
      <c r="F783" s="35"/>
      <c r="G783" s="35"/>
      <c r="H783" s="35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</row>
    <row r="784" spans="1:23" ht="12.75">
      <c r="A784" s="35"/>
      <c r="B784" s="35"/>
      <c r="C784" s="35"/>
      <c r="D784" s="35"/>
      <c r="E784" s="35"/>
      <c r="F784" s="35"/>
      <c r="G784" s="35"/>
      <c r="H784" s="35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</row>
    <row r="785" spans="1:23" ht="12.75">
      <c r="A785" s="35"/>
      <c r="B785" s="35"/>
      <c r="C785" s="35"/>
      <c r="D785" s="35"/>
      <c r="E785" s="35"/>
      <c r="F785" s="35"/>
      <c r="G785" s="35"/>
      <c r="H785" s="35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</row>
    <row r="786" spans="1:23" ht="12.75">
      <c r="A786" s="35"/>
      <c r="B786" s="35"/>
      <c r="C786" s="35"/>
      <c r="D786" s="35"/>
      <c r="E786" s="35"/>
      <c r="F786" s="35"/>
      <c r="G786" s="35"/>
      <c r="H786" s="35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</row>
    <row r="787" spans="1:23" ht="12.75">
      <c r="A787" s="35"/>
      <c r="B787" s="35"/>
      <c r="C787" s="35"/>
      <c r="D787" s="35"/>
      <c r="E787" s="35"/>
      <c r="F787" s="35"/>
      <c r="G787" s="35"/>
      <c r="H787" s="35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</row>
    <row r="788" spans="1:23" ht="12.75">
      <c r="A788" s="35"/>
      <c r="B788" s="35"/>
      <c r="C788" s="35"/>
      <c r="D788" s="35"/>
      <c r="E788" s="35"/>
      <c r="F788" s="35"/>
      <c r="G788" s="35"/>
      <c r="H788" s="35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</row>
    <row r="789" spans="1:23" ht="12.75">
      <c r="A789" s="35"/>
      <c r="B789" s="35"/>
      <c r="C789" s="35"/>
      <c r="D789" s="35"/>
      <c r="E789" s="35"/>
      <c r="F789" s="35"/>
      <c r="G789" s="35"/>
      <c r="H789" s="35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</row>
    <row r="790" spans="1:23" ht="12.75">
      <c r="A790" s="35"/>
      <c r="B790" s="35"/>
      <c r="C790" s="35"/>
      <c r="D790" s="35"/>
      <c r="E790" s="35"/>
      <c r="F790" s="35"/>
      <c r="G790" s="35"/>
      <c r="H790" s="35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</row>
    <row r="791" spans="1:23" ht="12.75">
      <c r="A791" s="35"/>
      <c r="B791" s="35"/>
      <c r="C791" s="35"/>
      <c r="D791" s="35"/>
      <c r="E791" s="35"/>
      <c r="F791" s="35"/>
      <c r="G791" s="35"/>
      <c r="H791" s="35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</row>
    <row r="792" spans="1:23" ht="12.75">
      <c r="A792" s="35"/>
      <c r="B792" s="35"/>
      <c r="C792" s="35"/>
      <c r="D792" s="35"/>
      <c r="E792" s="35"/>
      <c r="F792" s="35"/>
      <c r="G792" s="35"/>
      <c r="H792" s="35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</row>
    <row r="793" spans="1:23" ht="12.75">
      <c r="A793" s="35"/>
      <c r="B793" s="35"/>
      <c r="C793" s="35"/>
      <c r="D793" s="35"/>
      <c r="E793" s="35"/>
      <c r="F793" s="35"/>
      <c r="G793" s="35"/>
      <c r="H793" s="35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</row>
    <row r="794" spans="1:23" ht="12.75">
      <c r="A794" s="35"/>
      <c r="B794" s="35"/>
      <c r="C794" s="35"/>
      <c r="D794" s="35"/>
      <c r="E794" s="35"/>
      <c r="F794" s="35"/>
      <c r="G794" s="35"/>
      <c r="H794" s="35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</row>
    <row r="795" spans="1:23" ht="12.75">
      <c r="A795" s="35"/>
      <c r="B795" s="35"/>
      <c r="C795" s="35"/>
      <c r="D795" s="35"/>
      <c r="E795" s="35"/>
      <c r="F795" s="35"/>
      <c r="G795" s="35"/>
      <c r="H795" s="35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</row>
    <row r="796" spans="1:23" ht="12.75">
      <c r="A796" s="35"/>
      <c r="B796" s="35"/>
      <c r="C796" s="35"/>
      <c r="D796" s="35"/>
      <c r="E796" s="35"/>
      <c r="F796" s="35"/>
      <c r="G796" s="35"/>
      <c r="H796" s="35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</row>
    <row r="797" spans="1:23" ht="12.75">
      <c r="A797" s="35"/>
      <c r="B797" s="35"/>
      <c r="C797" s="35"/>
      <c r="D797" s="35"/>
      <c r="E797" s="35"/>
      <c r="F797" s="35"/>
      <c r="G797" s="35"/>
      <c r="H797" s="35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</row>
    <row r="798" spans="1:23" ht="12.75">
      <c r="A798" s="35"/>
      <c r="B798" s="35"/>
      <c r="C798" s="35"/>
      <c r="D798" s="35"/>
      <c r="E798" s="35"/>
      <c r="F798" s="35"/>
      <c r="G798" s="35"/>
      <c r="H798" s="35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</row>
    <row r="799" spans="1:23" ht="12.75">
      <c r="A799" s="35"/>
      <c r="B799" s="35"/>
      <c r="C799" s="35"/>
      <c r="D799" s="35"/>
      <c r="E799" s="35"/>
      <c r="F799" s="35"/>
      <c r="G799" s="35"/>
      <c r="H799" s="35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</row>
    <row r="800" spans="1:23" ht="12.75">
      <c r="A800" s="35"/>
      <c r="B800" s="35"/>
      <c r="C800" s="35"/>
      <c r="D800" s="35"/>
      <c r="E800" s="35"/>
      <c r="F800" s="35"/>
      <c r="G800" s="35"/>
      <c r="H800" s="35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</row>
    <row r="801" spans="1:23" ht="12.75">
      <c r="A801" s="35"/>
      <c r="B801" s="35"/>
      <c r="C801" s="35"/>
      <c r="D801" s="35"/>
      <c r="E801" s="35"/>
      <c r="F801" s="35"/>
      <c r="G801" s="35"/>
      <c r="H801" s="35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</row>
    <row r="802" spans="1:23" ht="12.75">
      <c r="A802" s="35"/>
      <c r="B802" s="35"/>
      <c r="C802" s="35"/>
      <c r="D802" s="35"/>
      <c r="E802" s="35"/>
      <c r="F802" s="35"/>
      <c r="G802" s="35"/>
      <c r="H802" s="35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</row>
    <row r="803" spans="1:23" ht="12.75">
      <c r="A803" s="35"/>
      <c r="B803" s="35"/>
      <c r="C803" s="35"/>
      <c r="D803" s="35"/>
      <c r="E803" s="35"/>
      <c r="F803" s="35"/>
      <c r="G803" s="35"/>
      <c r="H803" s="35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</row>
    <row r="804" spans="1:23" ht="12.75">
      <c r="A804" s="35"/>
      <c r="B804" s="35"/>
      <c r="C804" s="35"/>
      <c r="D804" s="35"/>
      <c r="E804" s="35"/>
      <c r="F804" s="35"/>
      <c r="G804" s="35"/>
      <c r="H804" s="35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</row>
    <row r="805" spans="1:23" ht="12.75">
      <c r="A805" s="35"/>
      <c r="B805" s="35"/>
      <c r="C805" s="35"/>
      <c r="D805" s="35"/>
      <c r="E805" s="35"/>
      <c r="F805" s="35"/>
      <c r="G805" s="35"/>
      <c r="H805" s="35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</row>
    <row r="806" spans="1:23" ht="12.75">
      <c r="A806" s="35"/>
      <c r="B806" s="35"/>
      <c r="C806" s="35"/>
      <c r="D806" s="35"/>
      <c r="E806" s="35"/>
      <c r="F806" s="35"/>
      <c r="G806" s="35"/>
      <c r="H806" s="35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</row>
    <row r="807" spans="1:23" ht="12.75">
      <c r="A807" s="35"/>
      <c r="B807" s="35"/>
      <c r="C807" s="35"/>
      <c r="D807" s="35"/>
      <c r="E807" s="35"/>
      <c r="F807" s="35"/>
      <c r="G807" s="35"/>
      <c r="H807" s="35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</row>
    <row r="808" spans="1:23" ht="12.75">
      <c r="A808" s="35"/>
      <c r="B808" s="35"/>
      <c r="C808" s="35"/>
      <c r="D808" s="35"/>
      <c r="E808" s="35"/>
      <c r="F808" s="35"/>
      <c r="G808" s="35"/>
      <c r="H808" s="35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</row>
    <row r="809" spans="1:23" ht="12.75">
      <c r="A809" s="35"/>
      <c r="B809" s="35"/>
      <c r="C809" s="35"/>
      <c r="D809" s="35"/>
      <c r="E809" s="35"/>
      <c r="F809" s="35"/>
      <c r="G809" s="35"/>
      <c r="H809" s="35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</row>
    <row r="810" spans="1:23" ht="12.75">
      <c r="A810" s="35"/>
      <c r="B810" s="35"/>
      <c r="C810" s="35"/>
      <c r="D810" s="35"/>
      <c r="E810" s="35"/>
      <c r="F810" s="35"/>
      <c r="G810" s="35"/>
      <c r="H810" s="35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</row>
    <row r="811" spans="1:23" ht="12.75">
      <c r="A811" s="35"/>
      <c r="B811" s="35"/>
      <c r="C811" s="35"/>
      <c r="D811" s="35"/>
      <c r="E811" s="35"/>
      <c r="F811" s="35"/>
      <c r="G811" s="35"/>
      <c r="H811" s="35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</row>
    <row r="812" spans="1:23" ht="12.75">
      <c r="A812" s="35"/>
      <c r="B812" s="35"/>
      <c r="C812" s="35"/>
      <c r="D812" s="35"/>
      <c r="E812" s="35"/>
      <c r="F812" s="35"/>
      <c r="G812" s="35"/>
      <c r="H812" s="35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</row>
    <row r="813" spans="1:23" ht="12.75">
      <c r="A813" s="35"/>
      <c r="B813" s="35"/>
      <c r="C813" s="35"/>
      <c r="D813" s="35"/>
      <c r="E813" s="35"/>
      <c r="F813" s="35"/>
      <c r="G813" s="35"/>
      <c r="H813" s="35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</row>
    <row r="814" spans="1:23" ht="12.75">
      <c r="A814" s="35"/>
      <c r="B814" s="35"/>
      <c r="C814" s="35"/>
      <c r="D814" s="35"/>
      <c r="E814" s="35"/>
      <c r="F814" s="35"/>
      <c r="G814" s="35"/>
      <c r="H814" s="35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</row>
    <row r="815" spans="1:23" ht="12.75">
      <c r="A815" s="35"/>
      <c r="B815" s="35"/>
      <c r="C815" s="35"/>
      <c r="D815" s="35"/>
      <c r="E815" s="35"/>
      <c r="F815" s="35"/>
      <c r="G815" s="35"/>
      <c r="H815" s="35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</row>
    <row r="816" spans="1:23" ht="12.75">
      <c r="A816" s="35"/>
      <c r="B816" s="35"/>
      <c r="C816" s="35"/>
      <c r="D816" s="35"/>
      <c r="E816" s="35"/>
      <c r="F816" s="35"/>
      <c r="G816" s="35"/>
      <c r="H816" s="35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</row>
    <row r="817" spans="1:23" ht="12.75">
      <c r="A817" s="35"/>
      <c r="B817" s="35"/>
      <c r="C817" s="35"/>
      <c r="D817" s="35"/>
      <c r="E817" s="35"/>
      <c r="F817" s="35"/>
      <c r="G817" s="35"/>
      <c r="H817" s="35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</row>
    <row r="818" spans="1:23" ht="12.75">
      <c r="A818" s="35"/>
      <c r="B818" s="35"/>
      <c r="C818" s="35"/>
      <c r="D818" s="35"/>
      <c r="E818" s="35"/>
      <c r="F818" s="35"/>
      <c r="G818" s="35"/>
      <c r="H818" s="35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</row>
    <row r="819" spans="1:23" ht="12.75">
      <c r="A819" s="35"/>
      <c r="B819" s="35"/>
      <c r="C819" s="35"/>
      <c r="D819" s="35"/>
      <c r="E819" s="35"/>
      <c r="F819" s="35"/>
      <c r="G819" s="35"/>
      <c r="H819" s="35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</row>
    <row r="820" spans="1:23" ht="12.75">
      <c r="A820" s="35"/>
      <c r="B820" s="35"/>
      <c r="C820" s="35"/>
      <c r="D820" s="35"/>
      <c r="E820" s="35"/>
      <c r="F820" s="35"/>
      <c r="G820" s="35"/>
      <c r="H820" s="35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</row>
    <row r="821" spans="1:23" ht="12.75">
      <c r="A821" s="35"/>
      <c r="B821" s="35"/>
      <c r="C821" s="35"/>
      <c r="D821" s="35"/>
      <c r="E821" s="35"/>
      <c r="F821" s="35"/>
      <c r="G821" s="35"/>
      <c r="H821" s="35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</row>
    <row r="822" spans="1:23" ht="12.75">
      <c r="A822" s="35"/>
      <c r="B822" s="35"/>
      <c r="C822" s="35"/>
      <c r="D822" s="35"/>
      <c r="E822" s="35"/>
      <c r="F822" s="35"/>
      <c r="G822" s="35"/>
      <c r="H822" s="35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</row>
    <row r="823" spans="1:23" ht="12.75">
      <c r="A823" s="35"/>
      <c r="B823" s="35"/>
      <c r="C823" s="35"/>
      <c r="D823" s="35"/>
      <c r="E823" s="35"/>
      <c r="F823" s="35"/>
      <c r="G823" s="35"/>
      <c r="H823" s="35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</row>
    <row r="824" spans="1:23" ht="12.75">
      <c r="A824" s="35"/>
      <c r="B824" s="35"/>
      <c r="C824" s="35"/>
      <c r="D824" s="35"/>
      <c r="E824" s="35"/>
      <c r="F824" s="35"/>
      <c r="G824" s="35"/>
      <c r="H824" s="35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</row>
    <row r="825" spans="1:23" ht="12.75">
      <c r="A825" s="35"/>
      <c r="B825" s="35"/>
      <c r="C825" s="35"/>
      <c r="D825" s="35"/>
      <c r="E825" s="35"/>
      <c r="F825" s="35"/>
      <c r="G825" s="35"/>
      <c r="H825" s="35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</row>
    <row r="826" spans="1:23" ht="12.75">
      <c r="A826" s="35"/>
      <c r="B826" s="35"/>
      <c r="C826" s="35"/>
      <c r="D826" s="35"/>
      <c r="E826" s="35"/>
      <c r="F826" s="35"/>
      <c r="G826" s="35"/>
      <c r="H826" s="35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</row>
    <row r="827" spans="1:23" ht="12.75">
      <c r="A827" s="35"/>
      <c r="B827" s="35"/>
      <c r="C827" s="35"/>
      <c r="D827" s="35"/>
      <c r="E827" s="35"/>
      <c r="F827" s="35"/>
      <c r="G827" s="35"/>
      <c r="H827" s="35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</row>
    <row r="828" spans="1:23" ht="12.75">
      <c r="A828" s="35"/>
      <c r="B828" s="35"/>
      <c r="C828" s="35"/>
      <c r="D828" s="35"/>
      <c r="E828" s="35"/>
      <c r="F828" s="35"/>
      <c r="G828" s="35"/>
      <c r="H828" s="35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</row>
    <row r="829" spans="1:23" ht="12.75">
      <c r="A829" s="35"/>
      <c r="B829" s="35"/>
      <c r="C829" s="35"/>
      <c r="D829" s="35"/>
      <c r="E829" s="35"/>
      <c r="F829" s="35"/>
      <c r="G829" s="35"/>
      <c r="H829" s="35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</row>
    <row r="830" spans="1:23" ht="12.75">
      <c r="A830" s="35"/>
      <c r="B830" s="35"/>
      <c r="C830" s="35"/>
      <c r="D830" s="35"/>
      <c r="E830" s="35"/>
      <c r="F830" s="35"/>
      <c r="G830" s="35"/>
      <c r="H830" s="35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</row>
    <row r="831" spans="1:23" ht="12.75">
      <c r="A831" s="35"/>
      <c r="B831" s="35"/>
      <c r="C831" s="35"/>
      <c r="D831" s="35"/>
      <c r="E831" s="35"/>
      <c r="F831" s="35"/>
      <c r="G831" s="35"/>
      <c r="H831" s="35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</row>
    <row r="832" spans="1:23" ht="12.75">
      <c r="A832" s="35"/>
      <c r="B832" s="35"/>
      <c r="C832" s="35"/>
      <c r="D832" s="35"/>
      <c r="E832" s="35"/>
      <c r="F832" s="35"/>
      <c r="G832" s="35"/>
      <c r="H832" s="35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</row>
    <row r="833" spans="1:23" ht="12.75">
      <c r="A833" s="35"/>
      <c r="B833" s="35"/>
      <c r="C833" s="35"/>
      <c r="D833" s="35"/>
      <c r="E833" s="35"/>
      <c r="F833" s="35"/>
      <c r="G833" s="35"/>
      <c r="H833" s="35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</row>
    <row r="834" spans="1:23" ht="12.75">
      <c r="A834" s="35"/>
      <c r="B834" s="35"/>
      <c r="C834" s="35"/>
      <c r="D834" s="35"/>
      <c r="E834" s="35"/>
      <c r="F834" s="35"/>
      <c r="G834" s="35"/>
      <c r="H834" s="35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</row>
    <row r="835" spans="1:23" ht="12.75">
      <c r="A835" s="35"/>
      <c r="B835" s="35"/>
      <c r="C835" s="35"/>
      <c r="D835" s="35"/>
      <c r="E835" s="35"/>
      <c r="F835" s="35"/>
      <c r="G835" s="35"/>
      <c r="H835" s="35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</row>
    <row r="836" spans="1:23" ht="12.75">
      <c r="A836" s="35"/>
      <c r="B836" s="35"/>
      <c r="C836" s="35"/>
      <c r="D836" s="35"/>
      <c r="E836" s="35"/>
      <c r="F836" s="35"/>
      <c r="G836" s="35"/>
      <c r="H836" s="35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</row>
    <row r="837" spans="1:23" ht="12.75">
      <c r="A837" s="35"/>
      <c r="B837" s="35"/>
      <c r="C837" s="35"/>
      <c r="D837" s="35"/>
      <c r="E837" s="35"/>
      <c r="F837" s="35"/>
      <c r="G837" s="35"/>
      <c r="H837" s="35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</row>
    <row r="838" spans="1:23" ht="12.75">
      <c r="A838" s="35"/>
      <c r="B838" s="35"/>
      <c r="C838" s="35"/>
      <c r="D838" s="35"/>
      <c r="E838" s="35"/>
      <c r="F838" s="35"/>
      <c r="G838" s="35"/>
      <c r="H838" s="35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</row>
    <row r="839" spans="1:23" ht="12.75">
      <c r="A839" s="35"/>
      <c r="B839" s="35"/>
      <c r="C839" s="35"/>
      <c r="D839" s="35"/>
      <c r="E839" s="35"/>
      <c r="F839" s="35"/>
      <c r="G839" s="35"/>
      <c r="H839" s="35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</row>
    <row r="840" spans="1:23" ht="12.75">
      <c r="A840" s="35"/>
      <c r="B840" s="35"/>
      <c r="C840" s="35"/>
      <c r="D840" s="35"/>
      <c r="E840" s="35"/>
      <c r="F840" s="35"/>
      <c r="G840" s="35"/>
      <c r="H840" s="35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</row>
    <row r="841" spans="1:23" ht="12.75">
      <c r="A841" s="35"/>
      <c r="B841" s="35"/>
      <c r="C841" s="35"/>
      <c r="D841" s="35"/>
      <c r="E841" s="35"/>
      <c r="F841" s="35"/>
      <c r="G841" s="35"/>
      <c r="H841" s="35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</row>
    <row r="842" spans="1:23" ht="12.75">
      <c r="A842" s="35"/>
      <c r="B842" s="35"/>
      <c r="C842" s="35"/>
      <c r="D842" s="35"/>
      <c r="E842" s="35"/>
      <c r="F842" s="35"/>
      <c r="G842" s="35"/>
      <c r="H842" s="35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</row>
    <row r="843" spans="1:23" ht="12.75">
      <c r="A843" s="35"/>
      <c r="B843" s="35"/>
      <c r="C843" s="35"/>
      <c r="D843" s="35"/>
      <c r="E843" s="35"/>
      <c r="F843" s="35"/>
      <c r="G843" s="35"/>
      <c r="H843" s="35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</row>
    <row r="844" spans="1:23" ht="12.75">
      <c r="A844" s="35"/>
      <c r="B844" s="35"/>
      <c r="C844" s="35"/>
      <c r="D844" s="35"/>
      <c r="E844" s="35"/>
      <c r="F844" s="35"/>
      <c r="G844" s="35"/>
      <c r="H844" s="35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</row>
    <row r="845" spans="1:23" ht="12.75">
      <c r="A845" s="35"/>
      <c r="B845" s="35"/>
      <c r="C845" s="35"/>
      <c r="D845" s="35"/>
      <c r="E845" s="35"/>
      <c r="F845" s="35"/>
      <c r="G845" s="35"/>
      <c r="H845" s="35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</row>
    <row r="846" spans="1:23" ht="12.75">
      <c r="A846" s="35"/>
      <c r="B846" s="35"/>
      <c r="C846" s="35"/>
      <c r="D846" s="35"/>
      <c r="E846" s="35"/>
      <c r="F846" s="35"/>
      <c r="G846" s="35"/>
      <c r="H846" s="35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</row>
    <row r="847" spans="1:23" ht="12.75">
      <c r="A847" s="35"/>
      <c r="B847" s="35"/>
      <c r="C847" s="35"/>
      <c r="D847" s="35"/>
      <c r="E847" s="35"/>
      <c r="F847" s="35"/>
      <c r="G847" s="35"/>
      <c r="H847" s="35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</row>
    <row r="848" spans="1:23" ht="12.75">
      <c r="A848" s="35"/>
      <c r="B848" s="35"/>
      <c r="C848" s="35"/>
      <c r="D848" s="35"/>
      <c r="E848" s="35"/>
      <c r="F848" s="35"/>
      <c r="G848" s="35"/>
      <c r="H848" s="35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</row>
    <row r="849" spans="1:23" ht="12.75">
      <c r="A849" s="35"/>
      <c r="B849" s="35"/>
      <c r="C849" s="35"/>
      <c r="D849" s="35"/>
      <c r="E849" s="35"/>
      <c r="F849" s="35"/>
      <c r="G849" s="35"/>
      <c r="H849" s="35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</row>
    <row r="850" spans="1:23" ht="12.75">
      <c r="A850" s="35"/>
      <c r="B850" s="35"/>
      <c r="C850" s="35"/>
      <c r="D850" s="35"/>
      <c r="E850" s="35"/>
      <c r="F850" s="35"/>
      <c r="G850" s="35"/>
      <c r="H850" s="35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</row>
    <row r="851" spans="1:23" ht="12.75">
      <c r="A851" s="35"/>
      <c r="B851" s="35"/>
      <c r="C851" s="35"/>
      <c r="D851" s="35"/>
      <c r="E851" s="35"/>
      <c r="F851" s="35"/>
      <c r="G851" s="35"/>
      <c r="H851" s="35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</row>
    <row r="852" spans="1:23" ht="12.75">
      <c r="A852" s="35"/>
      <c r="B852" s="35"/>
      <c r="C852" s="35"/>
      <c r="D852" s="35"/>
      <c r="E852" s="35"/>
      <c r="F852" s="35"/>
      <c r="G852" s="35"/>
      <c r="H852" s="35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</row>
    <row r="853" spans="1:23" ht="12.75">
      <c r="A853" s="35"/>
      <c r="B853" s="35"/>
      <c r="C853" s="35"/>
      <c r="D853" s="35"/>
      <c r="E853" s="35"/>
      <c r="F853" s="35"/>
      <c r="G853" s="35"/>
      <c r="H853" s="35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</row>
    <row r="854" spans="1:23" ht="12.75">
      <c r="A854" s="35"/>
      <c r="B854" s="35"/>
      <c r="C854" s="35"/>
      <c r="D854" s="35"/>
      <c r="E854" s="35"/>
      <c r="F854" s="35"/>
      <c r="G854" s="35"/>
      <c r="H854" s="35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</row>
    <row r="855" spans="1:23" ht="12.75">
      <c r="A855" s="35"/>
      <c r="B855" s="35"/>
      <c r="C855" s="35"/>
      <c r="D855" s="35"/>
      <c r="E855" s="35"/>
      <c r="F855" s="35"/>
      <c r="G855" s="35"/>
      <c r="H855" s="35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</row>
    <row r="856" spans="1:23" ht="12.75">
      <c r="A856" s="35"/>
      <c r="B856" s="35"/>
      <c r="C856" s="35"/>
      <c r="D856" s="35"/>
      <c r="E856" s="35"/>
      <c r="F856" s="35"/>
      <c r="G856" s="35"/>
      <c r="H856" s="35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</row>
    <row r="857" spans="1:23" ht="12.75">
      <c r="A857" s="35"/>
      <c r="B857" s="35"/>
      <c r="C857" s="35"/>
      <c r="D857" s="35"/>
      <c r="E857" s="35"/>
      <c r="F857" s="35"/>
      <c r="G857" s="35"/>
      <c r="H857" s="35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</row>
    <row r="858" spans="1:23" ht="12.75">
      <c r="A858" s="35"/>
      <c r="B858" s="35"/>
      <c r="C858" s="35"/>
      <c r="D858" s="35"/>
      <c r="E858" s="35"/>
      <c r="F858" s="35"/>
      <c r="G858" s="35"/>
      <c r="H858" s="35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</row>
    <row r="859" spans="1:23" ht="12.75">
      <c r="A859" s="35"/>
      <c r="B859" s="35"/>
      <c r="C859" s="35"/>
      <c r="D859" s="35"/>
      <c r="E859" s="35"/>
      <c r="F859" s="35"/>
      <c r="G859" s="35"/>
      <c r="H859" s="35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</row>
    <row r="860" spans="1:23" ht="12.75">
      <c r="A860" s="35"/>
      <c r="B860" s="35"/>
      <c r="C860" s="35"/>
      <c r="D860" s="35"/>
      <c r="E860" s="35"/>
      <c r="F860" s="35"/>
      <c r="G860" s="35"/>
      <c r="H860" s="35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</row>
    <row r="861" spans="1:23" ht="12.75">
      <c r="A861" s="35"/>
      <c r="B861" s="35"/>
      <c r="C861" s="35"/>
      <c r="D861" s="35"/>
      <c r="E861" s="35"/>
      <c r="F861" s="35"/>
      <c r="G861" s="35"/>
      <c r="H861" s="35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</row>
    <row r="862" spans="1:23" ht="12.75">
      <c r="A862" s="35"/>
      <c r="B862" s="35"/>
      <c r="C862" s="35"/>
      <c r="D862" s="35"/>
      <c r="E862" s="35"/>
      <c r="F862" s="35"/>
      <c r="G862" s="35"/>
      <c r="H862" s="35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</row>
    <row r="863" spans="1:23" ht="12.75">
      <c r="A863" s="35"/>
      <c r="B863" s="35"/>
      <c r="C863" s="35"/>
      <c r="D863" s="35"/>
      <c r="E863" s="35"/>
      <c r="F863" s="35"/>
      <c r="G863" s="35"/>
      <c r="H863" s="35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</row>
    <row r="864" spans="1:23" ht="12.75">
      <c r="A864" s="35"/>
      <c r="B864" s="35"/>
      <c r="C864" s="35"/>
      <c r="D864" s="35"/>
      <c r="E864" s="35"/>
      <c r="F864" s="35"/>
      <c r="G864" s="35"/>
      <c r="H864" s="35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</row>
    <row r="865" spans="1:23" ht="12.75">
      <c r="A865" s="35"/>
      <c r="B865" s="35"/>
      <c r="C865" s="35"/>
      <c r="D865" s="35"/>
      <c r="E865" s="35"/>
      <c r="F865" s="35"/>
      <c r="G865" s="35"/>
      <c r="H865" s="35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</row>
    <row r="866" spans="1:23" ht="12.75">
      <c r="A866" s="35"/>
      <c r="B866" s="35"/>
      <c r="C866" s="35"/>
      <c r="D866" s="35"/>
      <c r="E866" s="35"/>
      <c r="F866" s="35"/>
      <c r="G866" s="35"/>
      <c r="H866" s="35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</row>
    <row r="867" spans="1:23" ht="12.75">
      <c r="A867" s="35"/>
      <c r="B867" s="35"/>
      <c r="C867" s="35"/>
      <c r="D867" s="35"/>
      <c r="E867" s="35"/>
      <c r="F867" s="35"/>
      <c r="G867" s="35"/>
      <c r="H867" s="35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</row>
    <row r="868" spans="1:23" ht="12.75">
      <c r="A868" s="35"/>
      <c r="B868" s="35"/>
      <c r="C868" s="35"/>
      <c r="D868" s="35"/>
      <c r="E868" s="35"/>
      <c r="F868" s="35"/>
      <c r="G868" s="35"/>
      <c r="H868" s="35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</row>
    <row r="869" spans="1:23" ht="12.75">
      <c r="A869" s="35"/>
      <c r="B869" s="35"/>
      <c r="C869" s="35"/>
      <c r="D869" s="35"/>
      <c r="E869" s="35"/>
      <c r="F869" s="35"/>
      <c r="G869" s="35"/>
      <c r="H869" s="35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</row>
    <row r="870" spans="1:23" ht="12.75">
      <c r="A870" s="35"/>
      <c r="B870" s="35"/>
      <c r="C870" s="35"/>
      <c r="D870" s="35"/>
      <c r="E870" s="35"/>
      <c r="F870" s="35"/>
      <c r="G870" s="35"/>
      <c r="H870" s="35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</row>
    <row r="871" spans="1:23" ht="12.75">
      <c r="A871" s="35"/>
      <c r="B871" s="35"/>
      <c r="C871" s="35"/>
      <c r="D871" s="35"/>
      <c r="E871" s="35"/>
      <c r="F871" s="35"/>
      <c r="G871" s="35"/>
      <c r="H871" s="35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</row>
    <row r="872" spans="1:23" ht="12.75">
      <c r="A872" s="35"/>
      <c r="B872" s="35"/>
      <c r="C872" s="35"/>
      <c r="D872" s="35"/>
      <c r="E872" s="35"/>
      <c r="F872" s="35"/>
      <c r="G872" s="35"/>
      <c r="H872" s="35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</row>
    <row r="873" spans="1:23" ht="12.75">
      <c r="A873" s="35"/>
      <c r="B873" s="35"/>
      <c r="C873" s="35"/>
      <c r="D873" s="35"/>
      <c r="E873" s="35"/>
      <c r="F873" s="35"/>
      <c r="G873" s="35"/>
      <c r="H873" s="35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</row>
    <row r="874" spans="1:23" ht="12.75">
      <c r="A874" s="35"/>
      <c r="B874" s="35"/>
      <c r="C874" s="35"/>
      <c r="D874" s="35"/>
      <c r="E874" s="35"/>
      <c r="F874" s="35"/>
      <c r="G874" s="35"/>
      <c r="H874" s="35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</row>
    <row r="875" spans="1:23" ht="12.75">
      <c r="A875" s="35"/>
      <c r="B875" s="35"/>
      <c r="C875" s="35"/>
      <c r="D875" s="35"/>
      <c r="E875" s="35"/>
      <c r="F875" s="35"/>
      <c r="G875" s="35"/>
      <c r="H875" s="35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</row>
    <row r="876" spans="1:23" ht="12.75">
      <c r="A876" s="35"/>
      <c r="B876" s="35"/>
      <c r="C876" s="35"/>
      <c r="D876" s="35"/>
      <c r="E876" s="35"/>
      <c r="F876" s="35"/>
      <c r="G876" s="35"/>
      <c r="H876" s="35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</row>
    <row r="877" spans="1:23" ht="12.75">
      <c r="A877" s="35"/>
      <c r="B877" s="35"/>
      <c r="C877" s="35"/>
      <c r="D877" s="35"/>
      <c r="E877" s="35"/>
      <c r="F877" s="35"/>
      <c r="G877" s="35"/>
      <c r="H877" s="35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</row>
    <row r="878" spans="1:23" ht="12.75">
      <c r="A878" s="35"/>
      <c r="B878" s="35"/>
      <c r="C878" s="35"/>
      <c r="D878" s="35"/>
      <c r="E878" s="35"/>
      <c r="F878" s="35"/>
      <c r="G878" s="35"/>
      <c r="H878" s="35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</row>
    <row r="879" spans="1:23" ht="12.75">
      <c r="A879" s="35"/>
      <c r="B879" s="35"/>
      <c r="C879" s="35"/>
      <c r="D879" s="35"/>
      <c r="E879" s="35"/>
      <c r="F879" s="35"/>
      <c r="G879" s="35"/>
      <c r="H879" s="35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</row>
    <row r="880" spans="1:23" ht="12.75">
      <c r="A880" s="35"/>
      <c r="B880" s="35"/>
      <c r="C880" s="35"/>
      <c r="D880" s="35"/>
      <c r="E880" s="35"/>
      <c r="F880" s="35"/>
      <c r="G880" s="35"/>
      <c r="H880" s="35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</row>
    <row r="881" spans="1:23" ht="12.75">
      <c r="A881" s="35"/>
      <c r="B881" s="35"/>
      <c r="C881" s="35"/>
      <c r="D881" s="35"/>
      <c r="E881" s="35"/>
      <c r="F881" s="35"/>
      <c r="G881" s="35"/>
      <c r="H881" s="35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</row>
    <row r="882" spans="1:23" ht="12.75">
      <c r="A882" s="35"/>
      <c r="B882" s="35"/>
      <c r="C882" s="35"/>
      <c r="D882" s="35"/>
      <c r="E882" s="35"/>
      <c r="F882" s="35"/>
      <c r="G882" s="35"/>
      <c r="H882" s="35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</row>
    <row r="883" spans="1:23" ht="12.75">
      <c r="A883" s="35"/>
      <c r="B883" s="35"/>
      <c r="C883" s="35"/>
      <c r="D883" s="35"/>
      <c r="E883" s="35"/>
      <c r="F883" s="35"/>
      <c r="G883" s="35"/>
      <c r="H883" s="35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</row>
    <row r="884" spans="1:23" ht="12.75">
      <c r="A884" s="35"/>
      <c r="B884" s="35"/>
      <c r="C884" s="35"/>
      <c r="D884" s="35"/>
      <c r="E884" s="35"/>
      <c r="F884" s="35"/>
      <c r="G884" s="35"/>
      <c r="H884" s="35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</row>
    <row r="885" spans="1:23" ht="12.75">
      <c r="A885" s="35"/>
      <c r="B885" s="35"/>
      <c r="C885" s="35"/>
      <c r="D885" s="35"/>
      <c r="E885" s="35"/>
      <c r="F885" s="35"/>
      <c r="G885" s="35"/>
      <c r="H885" s="35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</row>
    <row r="886" spans="1:23" ht="12.75">
      <c r="A886" s="35"/>
      <c r="B886" s="35"/>
      <c r="C886" s="35"/>
      <c r="D886" s="35"/>
      <c r="E886" s="35"/>
      <c r="F886" s="35"/>
      <c r="G886" s="35"/>
      <c r="H886" s="35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</row>
    <row r="887" spans="1:23" ht="12.75">
      <c r="A887" s="35"/>
      <c r="B887" s="35"/>
      <c r="C887" s="35"/>
      <c r="D887" s="35"/>
      <c r="E887" s="35"/>
      <c r="F887" s="35"/>
      <c r="G887" s="35"/>
      <c r="H887" s="35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</row>
    <row r="888" spans="1:23" ht="12.75">
      <c r="A888" s="35"/>
      <c r="B888" s="35"/>
      <c r="C888" s="35"/>
      <c r="D888" s="35"/>
      <c r="E888" s="35"/>
      <c r="F888" s="35"/>
      <c r="G888" s="35"/>
      <c r="H888" s="35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</row>
    <row r="889" spans="1:23" ht="12.75">
      <c r="A889" s="35"/>
      <c r="B889" s="35"/>
      <c r="C889" s="35"/>
      <c r="D889" s="35"/>
      <c r="E889" s="35"/>
      <c r="F889" s="35"/>
      <c r="G889" s="35"/>
      <c r="H889" s="35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</row>
    <row r="890" spans="1:23" ht="12.75">
      <c r="A890" s="35"/>
      <c r="B890" s="35"/>
      <c r="C890" s="35"/>
      <c r="D890" s="35"/>
      <c r="E890" s="35"/>
      <c r="F890" s="35"/>
      <c r="G890" s="35"/>
      <c r="H890" s="35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</row>
    <row r="891" spans="1:23" ht="12.75">
      <c r="A891" s="35"/>
      <c r="B891" s="35"/>
      <c r="C891" s="35"/>
      <c r="D891" s="35"/>
      <c r="E891" s="35"/>
      <c r="F891" s="35"/>
      <c r="G891" s="35"/>
      <c r="H891" s="35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</row>
    <row r="892" spans="1:23" ht="12.75">
      <c r="A892" s="35"/>
      <c r="B892" s="35"/>
      <c r="C892" s="35"/>
      <c r="D892" s="35"/>
      <c r="E892" s="35"/>
      <c r="F892" s="35"/>
      <c r="G892" s="35"/>
      <c r="H892" s="35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</row>
    <row r="893" spans="1:23" ht="12.75">
      <c r="A893" s="35"/>
      <c r="B893" s="35"/>
      <c r="C893" s="35"/>
      <c r="D893" s="35"/>
      <c r="E893" s="35"/>
      <c r="F893" s="35"/>
      <c r="G893" s="35"/>
      <c r="H893" s="35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</row>
    <row r="894" spans="1:23" ht="12.75">
      <c r="A894" s="35"/>
      <c r="B894" s="35"/>
      <c r="C894" s="35"/>
      <c r="D894" s="35"/>
      <c r="E894" s="35"/>
      <c r="F894" s="35"/>
      <c r="G894" s="35"/>
      <c r="H894" s="35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</row>
    <row r="895" spans="1:23" ht="12.75">
      <c r="A895" s="35"/>
      <c r="B895" s="35"/>
      <c r="C895" s="35"/>
      <c r="D895" s="35"/>
      <c r="E895" s="35"/>
      <c r="F895" s="35"/>
      <c r="G895" s="35"/>
      <c r="H895" s="35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</row>
    <row r="896" spans="1:23" ht="12.75">
      <c r="A896" s="35"/>
      <c r="B896" s="35"/>
      <c r="C896" s="35"/>
      <c r="D896" s="35"/>
      <c r="E896" s="35"/>
      <c r="F896" s="35"/>
      <c r="G896" s="35"/>
      <c r="H896" s="35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</row>
    <row r="897" spans="1:23" ht="12.75">
      <c r="A897" s="35"/>
      <c r="B897" s="35"/>
      <c r="C897" s="35"/>
      <c r="D897" s="35"/>
      <c r="E897" s="35"/>
      <c r="F897" s="35"/>
      <c r="G897" s="35"/>
      <c r="H897" s="35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</row>
    <row r="898" spans="1:23" ht="12.75">
      <c r="A898" s="35"/>
      <c r="B898" s="35"/>
      <c r="C898" s="35"/>
      <c r="D898" s="35"/>
      <c r="E898" s="35"/>
      <c r="F898" s="35"/>
      <c r="G898" s="35"/>
      <c r="H898" s="35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</row>
    <row r="899" spans="1:23" ht="12.75">
      <c r="A899" s="35"/>
      <c r="B899" s="35"/>
      <c r="C899" s="35"/>
      <c r="D899" s="35"/>
      <c r="E899" s="35"/>
      <c r="F899" s="35"/>
      <c r="G899" s="35"/>
      <c r="H899" s="35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</row>
    <row r="900" spans="1:23" ht="12.75">
      <c r="A900" s="35"/>
      <c r="B900" s="35"/>
      <c r="C900" s="35"/>
      <c r="D900" s="35"/>
      <c r="E900" s="35"/>
      <c r="F900" s="35"/>
      <c r="G900" s="35"/>
      <c r="H900" s="35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</row>
    <row r="901" spans="1:23" ht="12.75">
      <c r="A901" s="35"/>
      <c r="B901" s="35"/>
      <c r="C901" s="35"/>
      <c r="D901" s="35"/>
      <c r="E901" s="35"/>
      <c r="F901" s="35"/>
      <c r="G901" s="35"/>
      <c r="H901" s="35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</row>
    <row r="902" spans="1:23" ht="12.75">
      <c r="A902" s="35"/>
      <c r="B902" s="35"/>
      <c r="C902" s="35"/>
      <c r="D902" s="35"/>
      <c r="E902" s="35"/>
      <c r="F902" s="35"/>
      <c r="G902" s="35"/>
      <c r="H902" s="35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</row>
    <row r="903" spans="1:23" ht="12.75">
      <c r="A903" s="35"/>
      <c r="B903" s="35"/>
      <c r="C903" s="35"/>
      <c r="D903" s="35"/>
      <c r="E903" s="35"/>
      <c r="F903" s="35"/>
      <c r="G903" s="35"/>
      <c r="H903" s="35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</row>
    <row r="904" spans="1:23" ht="12.75">
      <c r="A904" s="35"/>
      <c r="B904" s="35"/>
      <c r="C904" s="35"/>
      <c r="D904" s="35"/>
      <c r="E904" s="35"/>
      <c r="F904" s="35"/>
      <c r="G904" s="35"/>
      <c r="H904" s="35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</row>
    <row r="905" spans="1:23" ht="12.75">
      <c r="A905" s="35"/>
      <c r="B905" s="35"/>
      <c r="C905" s="35"/>
      <c r="D905" s="35"/>
      <c r="E905" s="35"/>
      <c r="F905" s="35"/>
      <c r="G905" s="35"/>
      <c r="H905" s="35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</row>
    <row r="906" spans="1:23" ht="12.75">
      <c r="A906" s="35"/>
      <c r="B906" s="35"/>
      <c r="C906" s="35"/>
      <c r="D906" s="35"/>
      <c r="E906" s="35"/>
      <c r="F906" s="35"/>
      <c r="G906" s="35"/>
      <c r="H906" s="35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</row>
    <row r="907" spans="1:23" ht="12.75">
      <c r="A907" s="35"/>
      <c r="B907" s="35"/>
      <c r="C907" s="35"/>
      <c r="D907" s="35"/>
      <c r="E907" s="35"/>
      <c r="F907" s="35"/>
      <c r="G907" s="35"/>
      <c r="H907" s="35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</row>
    <row r="908" spans="1:23" ht="12.75">
      <c r="A908" s="35"/>
      <c r="B908" s="35"/>
      <c r="C908" s="35"/>
      <c r="D908" s="35"/>
      <c r="E908" s="35"/>
      <c r="F908" s="35"/>
      <c r="G908" s="35"/>
      <c r="H908" s="35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</row>
    <row r="909" spans="1:23" ht="12.75">
      <c r="A909" s="35"/>
      <c r="B909" s="35"/>
      <c r="C909" s="35"/>
      <c r="D909" s="35"/>
      <c r="E909" s="35"/>
      <c r="F909" s="35"/>
      <c r="G909" s="35"/>
      <c r="H909" s="35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</row>
    <row r="910" spans="1:23" ht="12.75">
      <c r="A910" s="35"/>
      <c r="B910" s="35"/>
      <c r="C910" s="35"/>
      <c r="D910" s="35"/>
      <c r="E910" s="35"/>
      <c r="F910" s="35"/>
      <c r="G910" s="35"/>
      <c r="H910" s="35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</row>
    <row r="911" spans="1:23" ht="12.75">
      <c r="A911" s="35"/>
      <c r="B911" s="35"/>
      <c r="C911" s="35"/>
      <c r="D911" s="35"/>
      <c r="E911" s="35"/>
      <c r="F911" s="35"/>
      <c r="G911" s="35"/>
      <c r="H911" s="35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</row>
    <row r="912" spans="1:23" ht="12.75">
      <c r="A912" s="35"/>
      <c r="B912" s="35"/>
      <c r="C912" s="35"/>
      <c r="D912" s="35"/>
      <c r="E912" s="35"/>
      <c r="F912" s="35"/>
      <c r="G912" s="35"/>
      <c r="H912" s="35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</row>
    <row r="913" spans="1:23" ht="12.75">
      <c r="A913" s="35"/>
      <c r="B913" s="35"/>
      <c r="C913" s="35"/>
      <c r="D913" s="35"/>
      <c r="E913" s="35"/>
      <c r="F913" s="35"/>
      <c r="G913" s="35"/>
      <c r="H913" s="35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</row>
    <row r="914" spans="1:23" ht="12.75">
      <c r="A914" s="35"/>
      <c r="B914" s="35"/>
      <c r="C914" s="35"/>
      <c r="D914" s="35"/>
      <c r="E914" s="35"/>
      <c r="F914" s="35"/>
      <c r="G914" s="35"/>
      <c r="H914" s="35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</row>
    <row r="915" spans="1:23" ht="12.75">
      <c r="A915" s="35"/>
      <c r="B915" s="35"/>
      <c r="C915" s="35"/>
      <c r="D915" s="35"/>
      <c r="E915" s="35"/>
      <c r="F915" s="35"/>
      <c r="G915" s="35"/>
      <c r="H915" s="35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</row>
    <row r="916" spans="1:23" ht="12.75">
      <c r="A916" s="35"/>
      <c r="B916" s="35"/>
      <c r="C916" s="35"/>
      <c r="D916" s="35"/>
      <c r="E916" s="35"/>
      <c r="F916" s="35"/>
      <c r="G916" s="35"/>
      <c r="H916" s="35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</row>
    <row r="917" spans="1:23" ht="12.75">
      <c r="A917" s="35"/>
      <c r="B917" s="35"/>
      <c r="C917" s="35"/>
      <c r="D917" s="35"/>
      <c r="E917" s="35"/>
      <c r="F917" s="35"/>
      <c r="G917" s="35"/>
      <c r="H917" s="35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</row>
    <row r="918" spans="1:23" ht="12.75">
      <c r="A918" s="35"/>
      <c r="B918" s="35"/>
      <c r="C918" s="35"/>
      <c r="D918" s="35"/>
      <c r="E918" s="35"/>
      <c r="F918" s="35"/>
      <c r="G918" s="35"/>
      <c r="H918" s="35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</row>
    <row r="919" spans="1:23" ht="12.75">
      <c r="A919" s="35"/>
      <c r="B919" s="35"/>
      <c r="C919" s="35"/>
      <c r="D919" s="35"/>
      <c r="E919" s="35"/>
      <c r="F919" s="35"/>
      <c r="G919" s="35"/>
      <c r="H919" s="35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</row>
    <row r="920" spans="1:23" ht="12.75">
      <c r="A920" s="35"/>
      <c r="B920" s="35"/>
      <c r="C920" s="35"/>
      <c r="D920" s="35"/>
      <c r="E920" s="35"/>
      <c r="F920" s="35"/>
      <c r="G920" s="35"/>
      <c r="H920" s="35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</row>
    <row r="921" spans="1:23" ht="12.75">
      <c r="A921" s="35"/>
      <c r="B921" s="35"/>
      <c r="C921" s="35"/>
      <c r="D921" s="35"/>
      <c r="E921" s="35"/>
      <c r="F921" s="35"/>
      <c r="G921" s="35"/>
      <c r="H921" s="35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</row>
    <row r="922" spans="1:23" ht="12.75">
      <c r="A922" s="35"/>
      <c r="B922" s="35"/>
      <c r="C922" s="35"/>
      <c r="D922" s="35"/>
      <c r="E922" s="35"/>
      <c r="F922" s="35"/>
      <c r="G922" s="35"/>
      <c r="H922" s="35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</row>
    <row r="923" spans="1:23" ht="12.75">
      <c r="A923" s="35"/>
      <c r="B923" s="35"/>
      <c r="C923" s="35"/>
      <c r="D923" s="35"/>
      <c r="E923" s="35"/>
      <c r="F923" s="35"/>
      <c r="G923" s="35"/>
      <c r="H923" s="35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</row>
    <row r="924" spans="1:23" ht="12.75">
      <c r="A924" s="35"/>
      <c r="B924" s="35"/>
      <c r="C924" s="35"/>
      <c r="D924" s="35"/>
      <c r="E924" s="35"/>
      <c r="F924" s="35"/>
      <c r="G924" s="35"/>
      <c r="H924" s="35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</row>
    <row r="925" spans="1:23" ht="12.75">
      <c r="A925" s="35"/>
      <c r="B925" s="35"/>
      <c r="C925" s="35"/>
      <c r="D925" s="35"/>
      <c r="E925" s="35"/>
      <c r="F925" s="35"/>
      <c r="G925" s="35"/>
      <c r="H925" s="35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</row>
    <row r="926" spans="1:23" ht="12.75">
      <c r="A926" s="35"/>
      <c r="B926" s="35"/>
      <c r="C926" s="35"/>
      <c r="D926" s="35"/>
      <c r="E926" s="35"/>
      <c r="F926" s="35"/>
      <c r="G926" s="35"/>
      <c r="H926" s="35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</row>
    <row r="927" spans="1:23" ht="12.75">
      <c r="A927" s="35"/>
      <c r="B927" s="35"/>
      <c r="C927" s="35"/>
      <c r="D927" s="35"/>
      <c r="E927" s="35"/>
      <c r="F927" s="35"/>
      <c r="G927" s="35"/>
      <c r="H927" s="35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</row>
    <row r="928" spans="1:23" ht="12.75">
      <c r="A928" s="35"/>
      <c r="B928" s="35"/>
      <c r="C928" s="35"/>
      <c r="D928" s="35"/>
      <c r="E928" s="35"/>
      <c r="F928" s="35"/>
      <c r="G928" s="35"/>
      <c r="H928" s="35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</row>
    <row r="929" spans="1:23" ht="12.75">
      <c r="A929" s="35"/>
      <c r="B929" s="35"/>
      <c r="C929" s="35"/>
      <c r="D929" s="35"/>
      <c r="E929" s="35"/>
      <c r="F929" s="35"/>
      <c r="G929" s="35"/>
      <c r="H929" s="35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</row>
    <row r="930" spans="1:23" ht="12.75">
      <c r="A930" s="35"/>
      <c r="B930" s="35"/>
      <c r="C930" s="35"/>
      <c r="D930" s="35"/>
      <c r="E930" s="35"/>
      <c r="F930" s="35"/>
      <c r="G930" s="35"/>
      <c r="H930" s="35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</row>
    <row r="931" spans="1:23" ht="12.75">
      <c r="A931" s="35"/>
      <c r="B931" s="35"/>
      <c r="C931" s="35"/>
      <c r="D931" s="35"/>
      <c r="E931" s="35"/>
      <c r="F931" s="35"/>
      <c r="G931" s="35"/>
      <c r="H931" s="35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</row>
    <row r="932" spans="1:23" ht="12.75">
      <c r="A932" s="35"/>
      <c r="B932" s="35"/>
      <c r="C932" s="35"/>
      <c r="D932" s="35"/>
      <c r="E932" s="35"/>
      <c r="F932" s="35"/>
      <c r="G932" s="35"/>
      <c r="H932" s="35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</row>
    <row r="933" spans="1:23" ht="12.75">
      <c r="A933" s="35"/>
      <c r="B933" s="35"/>
      <c r="C933" s="35"/>
      <c r="D933" s="35"/>
      <c r="E933" s="35"/>
      <c r="F933" s="35"/>
      <c r="G933" s="35"/>
      <c r="H933" s="35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</row>
    <row r="934" spans="1:23" ht="12.75">
      <c r="A934" s="35"/>
      <c r="B934" s="35"/>
      <c r="C934" s="35"/>
      <c r="D934" s="35"/>
      <c r="E934" s="35"/>
      <c r="F934" s="35"/>
      <c r="G934" s="35"/>
      <c r="H934" s="35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</row>
    <row r="935" spans="1:23" ht="12.75">
      <c r="A935" s="35"/>
      <c r="B935" s="35"/>
      <c r="C935" s="35"/>
      <c r="D935" s="35"/>
      <c r="E935" s="35"/>
      <c r="F935" s="35"/>
      <c r="G935" s="35"/>
      <c r="H935" s="35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</row>
    <row r="936" spans="1:23" ht="12.75">
      <c r="A936" s="35"/>
      <c r="B936" s="35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</row>
    <row r="937" spans="1:23" ht="12.75">
      <c r="A937" s="35"/>
      <c r="B937" s="35"/>
      <c r="C937" s="35"/>
      <c r="D937" s="35"/>
      <c r="E937" s="35"/>
      <c r="F937" s="35"/>
      <c r="G937" s="35"/>
      <c r="H937" s="35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</row>
    <row r="938" spans="1:23" ht="12.75">
      <c r="A938" s="35"/>
      <c r="B938" s="35"/>
      <c r="C938" s="35"/>
      <c r="D938" s="35"/>
      <c r="E938" s="35"/>
      <c r="F938" s="35"/>
      <c r="G938" s="35"/>
      <c r="H938" s="35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</row>
    <row r="939" spans="1:23" ht="12.75">
      <c r="A939" s="35"/>
      <c r="B939" s="35"/>
      <c r="C939" s="35"/>
      <c r="D939" s="35"/>
      <c r="E939" s="35"/>
      <c r="F939" s="35"/>
      <c r="G939" s="35"/>
      <c r="H939" s="35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</row>
    <row r="940" spans="1:23" ht="12.75">
      <c r="A940" s="35"/>
      <c r="B940" s="35"/>
      <c r="C940" s="35"/>
      <c r="D940" s="35"/>
      <c r="E940" s="35"/>
      <c r="F940" s="35"/>
      <c r="G940" s="35"/>
      <c r="H940" s="35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</row>
    <row r="941" spans="1:23" ht="12.75">
      <c r="A941" s="35"/>
      <c r="B941" s="35"/>
      <c r="C941" s="35"/>
      <c r="D941" s="35"/>
      <c r="E941" s="35"/>
      <c r="F941" s="35"/>
      <c r="G941" s="35"/>
      <c r="H941" s="35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</row>
    <row r="942" spans="1:23" ht="12.75">
      <c r="A942" s="35"/>
      <c r="B942" s="35"/>
      <c r="C942" s="35"/>
      <c r="D942" s="35"/>
      <c r="E942" s="35"/>
      <c r="F942" s="35"/>
      <c r="G942" s="35"/>
      <c r="H942" s="35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</row>
    <row r="943" spans="1:23" ht="12.75">
      <c r="A943" s="35"/>
      <c r="B943" s="35"/>
      <c r="C943" s="35"/>
      <c r="D943" s="35"/>
      <c r="E943" s="35"/>
      <c r="F943" s="35"/>
      <c r="G943" s="35"/>
      <c r="H943" s="35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</row>
    <row r="944" spans="1:23" ht="12.75">
      <c r="A944" s="35"/>
      <c r="B944" s="35"/>
      <c r="C944" s="35"/>
      <c r="D944" s="35"/>
      <c r="E944" s="35"/>
      <c r="F944" s="35"/>
      <c r="G944" s="35"/>
      <c r="H944" s="35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</row>
    <row r="945" spans="1:23" ht="12.75">
      <c r="A945" s="35"/>
      <c r="B945" s="35"/>
      <c r="C945" s="35"/>
      <c r="D945" s="35"/>
      <c r="E945" s="35"/>
      <c r="F945" s="35"/>
      <c r="G945" s="35"/>
      <c r="H945" s="35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</row>
    <row r="946" spans="1:23" ht="12.75">
      <c r="A946" s="35"/>
      <c r="B946" s="35"/>
      <c r="C946" s="35"/>
      <c r="D946" s="35"/>
      <c r="E946" s="35"/>
      <c r="F946" s="35"/>
      <c r="G946" s="35"/>
      <c r="H946" s="35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</row>
    <row r="947" spans="1:23" ht="12.75">
      <c r="A947" s="35"/>
      <c r="B947" s="35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</row>
    <row r="948" spans="1:23" ht="12.75">
      <c r="A948" s="35"/>
      <c r="B948" s="35"/>
      <c r="C948" s="35"/>
      <c r="D948" s="35"/>
      <c r="E948" s="35"/>
      <c r="F948" s="35"/>
      <c r="G948" s="35"/>
      <c r="H948" s="35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</row>
    <row r="949" spans="1:23" ht="12.75">
      <c r="A949" s="35"/>
      <c r="B949" s="35"/>
      <c r="C949" s="35"/>
      <c r="D949" s="35"/>
      <c r="E949" s="35"/>
      <c r="F949" s="35"/>
      <c r="G949" s="35"/>
      <c r="H949" s="35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</row>
    <row r="950" spans="1:23" ht="12.75">
      <c r="A950" s="35"/>
      <c r="B950" s="35"/>
      <c r="C950" s="35"/>
      <c r="D950" s="35"/>
      <c r="E950" s="35"/>
      <c r="F950" s="35"/>
      <c r="G950" s="35"/>
      <c r="H950" s="35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</row>
    <row r="951" spans="1:23" ht="12.75">
      <c r="A951" s="35"/>
      <c r="B951" s="35"/>
      <c r="C951" s="35"/>
      <c r="D951" s="35"/>
      <c r="E951" s="35"/>
      <c r="F951" s="35"/>
      <c r="G951" s="35"/>
      <c r="H951" s="35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</row>
    <row r="952" spans="1:23" ht="12.75">
      <c r="A952" s="35"/>
      <c r="B952" s="35"/>
      <c r="C952" s="35"/>
      <c r="D952" s="35"/>
      <c r="E952" s="35"/>
      <c r="F952" s="35"/>
      <c r="G952" s="35"/>
      <c r="H952" s="35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</row>
    <row r="953" spans="1:23" ht="12.75">
      <c r="A953" s="35"/>
      <c r="B953" s="35"/>
      <c r="C953" s="35"/>
      <c r="D953" s="35"/>
      <c r="E953" s="35"/>
      <c r="F953" s="35"/>
      <c r="G953" s="35"/>
      <c r="H953" s="35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</row>
    <row r="954" spans="1:23" ht="12.75">
      <c r="A954" s="35"/>
      <c r="B954" s="35"/>
      <c r="C954" s="35"/>
      <c r="D954" s="35"/>
      <c r="E954" s="35"/>
      <c r="F954" s="35"/>
      <c r="G954" s="35"/>
      <c r="H954" s="35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</row>
    <row r="955" spans="1:23" ht="12.75">
      <c r="A955" s="35"/>
      <c r="B955" s="35"/>
      <c r="C955" s="35"/>
      <c r="D955" s="35"/>
      <c r="E955" s="35"/>
      <c r="F955" s="35"/>
      <c r="G955" s="35"/>
      <c r="H955" s="35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</row>
    <row r="956" spans="1:23" ht="12.75">
      <c r="A956" s="35"/>
      <c r="B956" s="35"/>
      <c r="C956" s="35"/>
      <c r="D956" s="35"/>
      <c r="E956" s="35"/>
      <c r="F956" s="35"/>
      <c r="G956" s="35"/>
      <c r="H956" s="35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</row>
    <row r="957" spans="1:23" ht="12.75">
      <c r="A957" s="35"/>
      <c r="B957" s="35"/>
      <c r="C957" s="35"/>
      <c r="D957" s="35"/>
      <c r="E957" s="35"/>
      <c r="F957" s="35"/>
      <c r="G957" s="35"/>
      <c r="H957" s="35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</row>
    <row r="958" spans="1:23" ht="12.75">
      <c r="A958" s="35"/>
      <c r="B958" s="35"/>
      <c r="C958" s="35"/>
      <c r="D958" s="35"/>
      <c r="E958" s="35"/>
      <c r="F958" s="35"/>
      <c r="G958" s="35"/>
      <c r="H958" s="35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</row>
    <row r="959" spans="1:23" ht="12.75">
      <c r="A959" s="35"/>
      <c r="B959" s="35"/>
      <c r="C959" s="35"/>
      <c r="D959" s="35"/>
      <c r="E959" s="35"/>
      <c r="F959" s="35"/>
      <c r="G959" s="35"/>
      <c r="H959" s="35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</row>
    <row r="960" spans="1:23" ht="12.75">
      <c r="A960" s="35"/>
      <c r="B960" s="35"/>
      <c r="C960" s="35"/>
      <c r="D960" s="35"/>
      <c r="E960" s="35"/>
      <c r="F960" s="35"/>
      <c r="G960" s="35"/>
      <c r="H960" s="35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</row>
    <row r="961" spans="1:23" ht="12.75">
      <c r="A961" s="35"/>
      <c r="B961" s="35"/>
      <c r="C961" s="35"/>
      <c r="D961" s="35"/>
      <c r="E961" s="35"/>
      <c r="F961" s="35"/>
      <c r="G961" s="35"/>
      <c r="H961" s="35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</row>
    <row r="962" spans="1:23" ht="12.75">
      <c r="A962" s="35"/>
      <c r="B962" s="35"/>
      <c r="C962" s="35"/>
      <c r="D962" s="35"/>
      <c r="E962" s="35"/>
      <c r="F962" s="35"/>
      <c r="G962" s="35"/>
      <c r="H962" s="35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</row>
    <row r="963" spans="1:23" ht="12.75">
      <c r="A963" s="35"/>
      <c r="B963" s="35"/>
      <c r="C963" s="35"/>
      <c r="D963" s="35"/>
      <c r="E963" s="35"/>
      <c r="F963" s="35"/>
      <c r="G963" s="35"/>
      <c r="H963" s="35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</row>
    <row r="964" spans="1:23" ht="12.75">
      <c r="A964" s="35"/>
      <c r="B964" s="35"/>
      <c r="C964" s="35"/>
      <c r="D964" s="35"/>
      <c r="E964" s="35"/>
      <c r="F964" s="35"/>
      <c r="G964" s="35"/>
      <c r="H964" s="35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</row>
    <row r="965" spans="1:23" ht="12.75">
      <c r="A965" s="35"/>
      <c r="B965" s="35"/>
      <c r="C965" s="35"/>
      <c r="D965" s="35"/>
      <c r="E965" s="35"/>
      <c r="F965" s="35"/>
      <c r="G965" s="35"/>
      <c r="H965" s="35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</row>
    <row r="966" spans="1:23" ht="12.75">
      <c r="A966" s="35"/>
      <c r="B966" s="35"/>
      <c r="C966" s="35"/>
      <c r="D966" s="35"/>
      <c r="E966" s="35"/>
      <c r="F966" s="35"/>
      <c r="G966" s="35"/>
      <c r="H966" s="35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</row>
    <row r="967" spans="1:23" ht="12.75">
      <c r="A967" s="35"/>
      <c r="B967" s="35"/>
      <c r="C967" s="35"/>
      <c r="D967" s="35"/>
      <c r="E967" s="35"/>
      <c r="F967" s="35"/>
      <c r="G967" s="35"/>
      <c r="H967" s="35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</row>
    <row r="968" spans="1:23" ht="12.75">
      <c r="A968" s="35"/>
      <c r="B968" s="35"/>
      <c r="C968" s="35"/>
      <c r="D968" s="35"/>
      <c r="E968" s="35"/>
      <c r="F968" s="35"/>
      <c r="G968" s="35"/>
      <c r="H968" s="35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</row>
    <row r="969" spans="1:23" ht="12.75">
      <c r="A969" s="35"/>
      <c r="B969" s="35"/>
      <c r="C969" s="35"/>
      <c r="D969" s="35"/>
      <c r="E969" s="35"/>
      <c r="F969" s="35"/>
      <c r="G969" s="35"/>
      <c r="H969" s="35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</row>
    <row r="970" spans="1:23" ht="12.75">
      <c r="A970" s="35"/>
      <c r="B970" s="35"/>
      <c r="C970" s="35"/>
      <c r="D970" s="35"/>
      <c r="E970" s="35"/>
      <c r="F970" s="35"/>
      <c r="G970" s="35"/>
      <c r="H970" s="35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</row>
    <row r="971" spans="1:23" ht="12.75">
      <c r="A971" s="35"/>
      <c r="B971" s="35"/>
      <c r="C971" s="35"/>
      <c r="D971" s="35"/>
      <c r="E971" s="35"/>
      <c r="F971" s="35"/>
      <c r="G971" s="35"/>
      <c r="H971" s="35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</row>
    <row r="972" spans="1:23" ht="12.75">
      <c r="A972" s="35"/>
      <c r="B972" s="35"/>
      <c r="C972" s="35"/>
      <c r="D972" s="35"/>
      <c r="E972" s="35"/>
      <c r="F972" s="35"/>
      <c r="G972" s="35"/>
      <c r="H972" s="35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</row>
    <row r="973" spans="1:23" ht="12.75">
      <c r="A973" s="35"/>
      <c r="B973" s="35"/>
      <c r="C973" s="35"/>
      <c r="D973" s="35"/>
      <c r="E973" s="35"/>
      <c r="F973" s="35"/>
      <c r="G973" s="35"/>
      <c r="H973" s="35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</row>
    <row r="974" spans="1:23" ht="12.75">
      <c r="A974" s="35"/>
      <c r="B974" s="35"/>
      <c r="C974" s="35"/>
      <c r="D974" s="35"/>
      <c r="E974" s="35"/>
      <c r="F974" s="35"/>
      <c r="G974" s="35"/>
      <c r="H974" s="35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</row>
    <row r="975" spans="1:23" ht="12.75">
      <c r="A975" s="35"/>
      <c r="B975" s="35"/>
      <c r="C975" s="35"/>
      <c r="D975" s="35"/>
      <c r="E975" s="35"/>
      <c r="F975" s="35"/>
      <c r="G975" s="35"/>
      <c r="H975" s="35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</row>
    <row r="976" spans="1:23" ht="12.75">
      <c r="A976" s="35"/>
      <c r="B976" s="35"/>
      <c r="C976" s="35"/>
      <c r="D976" s="35"/>
      <c r="E976" s="35"/>
      <c r="F976" s="35"/>
      <c r="G976" s="35"/>
      <c r="H976" s="35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</row>
    <row r="977" spans="1:23" ht="12.75">
      <c r="A977" s="35"/>
      <c r="B977" s="35"/>
      <c r="C977" s="35"/>
      <c r="D977" s="35"/>
      <c r="E977" s="35"/>
      <c r="F977" s="35"/>
      <c r="G977" s="35"/>
      <c r="H977" s="35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</row>
    <row r="978" spans="1:23" ht="12.75">
      <c r="A978" s="35"/>
      <c r="B978" s="35"/>
      <c r="C978" s="35"/>
      <c r="D978" s="35"/>
      <c r="E978" s="35"/>
      <c r="F978" s="35"/>
      <c r="G978" s="35"/>
      <c r="H978" s="35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</row>
    <row r="979" spans="1:23" ht="12.75">
      <c r="A979" s="35"/>
      <c r="B979" s="35"/>
      <c r="C979" s="35"/>
      <c r="D979" s="35"/>
      <c r="E979" s="35"/>
      <c r="F979" s="35"/>
      <c r="G979" s="35"/>
      <c r="H979" s="35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</row>
    <row r="980" spans="1:23" ht="12.75">
      <c r="A980" s="35"/>
      <c r="B980" s="35"/>
      <c r="C980" s="35"/>
      <c r="D980" s="35"/>
      <c r="E980" s="35"/>
      <c r="F980" s="35"/>
      <c r="G980" s="35"/>
      <c r="H980" s="35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</row>
    <row r="981" spans="1:23" ht="12.75">
      <c r="A981" s="35"/>
      <c r="B981" s="35"/>
      <c r="C981" s="35"/>
      <c r="D981" s="35"/>
      <c r="E981" s="35"/>
      <c r="F981" s="35"/>
      <c r="G981" s="35"/>
      <c r="H981" s="35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</row>
    <row r="982" spans="1:23" ht="12.75">
      <c r="A982" s="35"/>
      <c r="B982" s="35"/>
      <c r="C982" s="35"/>
      <c r="D982" s="35"/>
      <c r="E982" s="35"/>
      <c r="F982" s="35"/>
      <c r="G982" s="35"/>
      <c r="H982" s="35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</row>
    <row r="983" spans="1:23" ht="12.75">
      <c r="A983" s="35"/>
      <c r="B983" s="35"/>
      <c r="C983" s="35"/>
      <c r="D983" s="35"/>
      <c r="E983" s="35"/>
      <c r="F983" s="35"/>
      <c r="G983" s="35"/>
      <c r="H983" s="35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</row>
    <row r="984" spans="1:23" ht="12.75">
      <c r="A984" s="35"/>
      <c r="B984" s="35"/>
      <c r="C984" s="35"/>
      <c r="D984" s="35"/>
      <c r="E984" s="35"/>
      <c r="F984" s="35"/>
      <c r="G984" s="35"/>
      <c r="H984" s="35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</row>
    <row r="985" spans="1:23" ht="12.75">
      <c r="A985" s="35"/>
      <c r="B985" s="35"/>
      <c r="C985" s="35"/>
      <c r="D985" s="35"/>
      <c r="E985" s="35"/>
      <c r="F985" s="35"/>
      <c r="G985" s="35"/>
      <c r="H985" s="35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</row>
    <row r="986" spans="1:23" ht="12.75">
      <c r="A986" s="35"/>
      <c r="B986" s="35"/>
      <c r="C986" s="35"/>
      <c r="D986" s="35"/>
      <c r="E986" s="35"/>
      <c r="F986" s="35"/>
      <c r="G986" s="35"/>
      <c r="H986" s="35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</row>
    <row r="987" spans="1:23" ht="12.75">
      <c r="A987" s="35"/>
      <c r="B987" s="35"/>
      <c r="C987" s="35"/>
      <c r="D987" s="35"/>
      <c r="E987" s="35"/>
      <c r="F987" s="35"/>
      <c r="G987" s="35"/>
      <c r="H987" s="35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</row>
    <row r="988" spans="1:23" ht="12.75">
      <c r="A988" s="35"/>
      <c r="B988" s="35"/>
      <c r="C988" s="35"/>
      <c r="D988" s="35"/>
      <c r="E988" s="35"/>
      <c r="F988" s="35"/>
      <c r="G988" s="35"/>
      <c r="H988" s="35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</row>
    <row r="989" spans="1:23" ht="12.75">
      <c r="A989" s="35"/>
      <c r="B989" s="35"/>
      <c r="C989" s="35"/>
      <c r="D989" s="35"/>
      <c r="E989" s="35"/>
      <c r="F989" s="35"/>
      <c r="G989" s="35"/>
      <c r="H989" s="35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</row>
    <row r="990" spans="1:23" ht="12.75">
      <c r="A990" s="35"/>
      <c r="B990" s="35"/>
      <c r="C990" s="35"/>
      <c r="D990" s="35"/>
      <c r="E990" s="35"/>
      <c r="F990" s="35"/>
      <c r="G990" s="35"/>
      <c r="H990" s="35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</row>
    <row r="991" spans="1:23" ht="12.75">
      <c r="A991" s="35"/>
      <c r="B991" s="35"/>
      <c r="C991" s="35"/>
      <c r="D991" s="35"/>
      <c r="E991" s="35"/>
      <c r="F991" s="35"/>
      <c r="G991" s="35"/>
      <c r="H991" s="35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</row>
    <row r="992" spans="1:23" ht="12.75">
      <c r="A992" s="35"/>
      <c r="B992" s="35"/>
      <c r="C992" s="35"/>
      <c r="D992" s="35"/>
      <c r="E992" s="35"/>
      <c r="F992" s="35"/>
      <c r="G992" s="35"/>
      <c r="H992" s="35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</row>
    <row r="993" spans="1:23" ht="12.75">
      <c r="A993" s="35"/>
      <c r="B993" s="35"/>
      <c r="C993" s="35"/>
      <c r="D993" s="35"/>
      <c r="E993" s="35"/>
      <c r="F993" s="35"/>
      <c r="G993" s="35"/>
      <c r="H993" s="35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</row>
    <row r="994" spans="1:23" ht="12.75">
      <c r="A994" s="35"/>
      <c r="B994" s="35"/>
      <c r="C994" s="35"/>
      <c r="D994" s="35"/>
      <c r="E994" s="35"/>
      <c r="F994" s="35"/>
      <c r="G994" s="35"/>
      <c r="H994" s="35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</row>
    <row r="995" spans="1:23" ht="12.75">
      <c r="A995" s="35"/>
      <c r="B995" s="35"/>
      <c r="C995" s="35"/>
      <c r="D995" s="35"/>
      <c r="E995" s="35"/>
      <c r="F995" s="35"/>
      <c r="G995" s="35"/>
      <c r="H995" s="35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</row>
    <row r="996" spans="1:23" ht="12.75">
      <c r="A996" s="35"/>
      <c r="B996" s="35"/>
      <c r="C996" s="35"/>
      <c r="D996" s="35"/>
      <c r="E996" s="35"/>
      <c r="F996" s="35"/>
      <c r="G996" s="35"/>
      <c r="H996" s="35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</row>
    <row r="997" spans="1:23" ht="12.75">
      <c r="A997" s="35"/>
      <c r="B997" s="35"/>
      <c r="C997" s="35"/>
      <c r="D997" s="35"/>
      <c r="E997" s="35"/>
      <c r="F997" s="35"/>
      <c r="G997" s="35"/>
      <c r="H997" s="35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</row>
    <row r="998" spans="1:23" ht="12.75">
      <c r="A998" s="35"/>
      <c r="B998" s="35"/>
      <c r="C998" s="35"/>
      <c r="D998" s="35"/>
      <c r="E998" s="35"/>
      <c r="F998" s="35"/>
      <c r="G998" s="35"/>
      <c r="H998" s="35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</row>
    <row r="999" spans="1:23" ht="12.75">
      <c r="A999" s="35"/>
      <c r="B999" s="35"/>
      <c r="C999" s="35"/>
      <c r="D999" s="35"/>
      <c r="E999" s="35"/>
      <c r="F999" s="35"/>
      <c r="G999" s="35"/>
      <c r="H999" s="35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</row>
    <row r="1000" spans="1:23" ht="12.75">
      <c r="A1000" s="35"/>
      <c r="B1000" s="35"/>
      <c r="C1000" s="35"/>
      <c r="D1000" s="35"/>
      <c r="E1000" s="35"/>
      <c r="F1000" s="35"/>
      <c r="G1000" s="35"/>
      <c r="H1000" s="35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</row>
    <row r="1001" spans="1:23" ht="12.75">
      <c r="A1001" s="35"/>
      <c r="B1001" s="35"/>
      <c r="C1001" s="35"/>
      <c r="D1001" s="35"/>
      <c r="E1001" s="35"/>
      <c r="F1001" s="35"/>
      <c r="G1001" s="35"/>
      <c r="H1001" s="35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</row>
    <row r="1002" spans="1:23" ht="12.75">
      <c r="A1002" s="35"/>
      <c r="B1002" s="35"/>
      <c r="C1002" s="35"/>
      <c r="D1002" s="35"/>
      <c r="E1002" s="35"/>
      <c r="F1002" s="35"/>
      <c r="G1002" s="35"/>
      <c r="H1002" s="35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</row>
    <row r="1003" spans="1:23" ht="12.75">
      <c r="A1003" s="35"/>
      <c r="B1003" s="35"/>
      <c r="C1003" s="35"/>
      <c r="D1003" s="35"/>
      <c r="E1003" s="35"/>
      <c r="F1003" s="35"/>
      <c r="G1003" s="35"/>
      <c r="H1003" s="35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</row>
    <row r="1004" spans="1:23" ht="12.75">
      <c r="A1004" s="35"/>
      <c r="B1004" s="35"/>
      <c r="C1004" s="35"/>
      <c r="D1004" s="35"/>
      <c r="E1004" s="35"/>
      <c r="F1004" s="35"/>
      <c r="G1004" s="35"/>
      <c r="H1004" s="35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</row>
    <row r="1005" spans="1:23" ht="12.75">
      <c r="A1005" s="35"/>
      <c r="B1005" s="35"/>
      <c r="C1005" s="35"/>
      <c r="D1005" s="35"/>
      <c r="E1005" s="35"/>
      <c r="F1005" s="35"/>
      <c r="G1005" s="35"/>
      <c r="H1005" s="35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</row>
    <row r="1006" spans="1:23" ht="12.75">
      <c r="A1006" s="35"/>
      <c r="B1006" s="35"/>
      <c r="C1006" s="35"/>
      <c r="D1006" s="35"/>
      <c r="E1006" s="35"/>
      <c r="F1006" s="35"/>
      <c r="G1006" s="35"/>
      <c r="H1006" s="35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</row>
    <row r="1007" spans="1:23" ht="12.75">
      <c r="A1007" s="35"/>
      <c r="B1007" s="35"/>
      <c r="C1007" s="35"/>
      <c r="D1007" s="35"/>
      <c r="E1007" s="35"/>
      <c r="F1007" s="35"/>
      <c r="G1007" s="35"/>
      <c r="H1007" s="35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</row>
    <row r="1008" spans="1:23" ht="12.75">
      <c r="A1008" s="35"/>
      <c r="B1008" s="35"/>
      <c r="C1008" s="35"/>
      <c r="D1008" s="35"/>
      <c r="E1008" s="35"/>
      <c r="F1008" s="35"/>
      <c r="G1008" s="35"/>
      <c r="H1008" s="35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</row>
    <row r="1009" spans="1:23" ht="12.75">
      <c r="A1009" s="35"/>
      <c r="B1009" s="35"/>
      <c r="C1009" s="35"/>
      <c r="D1009" s="35"/>
      <c r="E1009" s="35"/>
      <c r="F1009" s="35"/>
      <c r="G1009" s="35"/>
      <c r="H1009" s="35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</row>
    <row r="1010" spans="1:23" ht="12.75">
      <c r="A1010" s="35"/>
      <c r="B1010" s="35"/>
      <c r="C1010" s="35"/>
      <c r="D1010" s="35"/>
      <c r="E1010" s="35"/>
      <c r="F1010" s="35"/>
      <c r="G1010" s="35"/>
      <c r="H1010" s="35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</row>
    <row r="1011" spans="1:23" ht="12.75">
      <c r="A1011" s="35"/>
      <c r="B1011" s="35"/>
      <c r="C1011" s="35"/>
      <c r="D1011" s="35"/>
      <c r="E1011" s="35"/>
      <c r="F1011" s="35"/>
      <c r="G1011" s="35"/>
      <c r="H1011" s="35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</row>
    <row r="1012" spans="1:23" ht="12.75">
      <c r="A1012" s="35"/>
      <c r="B1012" s="35"/>
      <c r="C1012" s="35"/>
      <c r="D1012" s="35"/>
      <c r="E1012" s="35"/>
      <c r="F1012" s="35"/>
      <c r="G1012" s="35"/>
      <c r="H1012" s="35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</row>
    <row r="1013" spans="1:23" ht="12.75">
      <c r="A1013" s="35"/>
      <c r="B1013" s="35"/>
      <c r="C1013" s="35"/>
      <c r="D1013" s="35"/>
      <c r="E1013" s="35"/>
      <c r="F1013" s="35"/>
      <c r="G1013" s="35"/>
      <c r="H1013" s="35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</row>
    <row r="1014" spans="1:23" ht="12.75">
      <c r="A1014" s="35"/>
      <c r="B1014" s="35"/>
      <c r="C1014" s="35"/>
      <c r="D1014" s="35"/>
      <c r="E1014" s="35"/>
      <c r="F1014" s="35"/>
      <c r="G1014" s="35"/>
      <c r="H1014" s="35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</row>
    <row r="1015" spans="1:23" ht="12.75">
      <c r="A1015" s="35"/>
      <c r="B1015" s="35"/>
      <c r="C1015" s="35"/>
      <c r="D1015" s="35"/>
      <c r="E1015" s="35"/>
      <c r="F1015" s="35"/>
      <c r="G1015" s="35"/>
      <c r="H1015" s="35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</row>
    <row r="1016" spans="1:23" ht="12.75">
      <c r="A1016" s="35"/>
      <c r="B1016" s="35"/>
      <c r="C1016" s="35"/>
      <c r="D1016" s="35"/>
      <c r="E1016" s="35"/>
      <c r="F1016" s="35"/>
      <c r="G1016" s="35"/>
      <c r="H1016" s="35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</row>
    <row r="1017" spans="1:23" ht="12.75">
      <c r="A1017" s="35"/>
      <c r="B1017" s="35"/>
      <c r="C1017" s="35"/>
      <c r="D1017" s="35"/>
      <c r="E1017" s="35"/>
      <c r="F1017" s="35"/>
      <c r="G1017" s="35"/>
      <c r="H1017" s="35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</row>
    <row r="1018" spans="1:23" ht="12.75">
      <c r="A1018" s="35"/>
      <c r="B1018" s="35"/>
      <c r="C1018" s="35"/>
      <c r="D1018" s="35"/>
      <c r="E1018" s="35"/>
      <c r="F1018" s="35"/>
      <c r="G1018" s="35"/>
      <c r="H1018" s="35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</row>
    <row r="1019" spans="1:23" ht="12.75">
      <c r="A1019" s="35"/>
      <c r="B1019" s="35"/>
      <c r="C1019" s="35"/>
      <c r="D1019" s="35"/>
      <c r="E1019" s="35"/>
      <c r="F1019" s="35"/>
      <c r="G1019" s="35"/>
      <c r="H1019" s="35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</row>
    <row r="1020" spans="1:23" ht="12.75">
      <c r="A1020" s="35"/>
      <c r="B1020" s="35"/>
      <c r="C1020" s="35"/>
      <c r="D1020" s="35"/>
      <c r="E1020" s="35"/>
      <c r="F1020" s="35"/>
      <c r="G1020" s="35"/>
      <c r="H1020" s="35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</row>
    <row r="1021" spans="1:23" ht="12.75">
      <c r="A1021" s="35"/>
      <c r="B1021" s="35"/>
      <c r="C1021" s="35"/>
      <c r="D1021" s="35"/>
      <c r="E1021" s="35"/>
      <c r="F1021" s="35"/>
      <c r="G1021" s="35"/>
      <c r="H1021" s="35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</row>
    <row r="1022" spans="1:23" ht="12.75">
      <c r="A1022" s="35"/>
      <c r="B1022" s="35"/>
      <c r="C1022" s="35"/>
      <c r="D1022" s="35"/>
      <c r="E1022" s="35"/>
      <c r="F1022" s="35"/>
      <c r="G1022" s="35"/>
      <c r="H1022" s="35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</row>
    <row r="1023" spans="1:23" ht="12.75">
      <c r="A1023" s="35"/>
      <c r="B1023" s="35"/>
      <c r="C1023" s="35"/>
      <c r="D1023" s="35"/>
      <c r="E1023" s="35"/>
      <c r="F1023" s="35"/>
      <c r="G1023" s="35"/>
      <c r="H1023" s="35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</row>
    <row r="1024" spans="1:23" ht="12.75">
      <c r="A1024" s="35"/>
      <c r="B1024" s="35"/>
      <c r="C1024" s="35"/>
      <c r="D1024" s="35"/>
      <c r="E1024" s="35"/>
      <c r="F1024" s="35"/>
      <c r="G1024" s="35"/>
      <c r="H1024" s="35"/>
      <c r="I1024" s="35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</row>
    <row r="1025" spans="1:23" ht="12.75">
      <c r="A1025" s="35"/>
      <c r="B1025" s="35"/>
      <c r="C1025" s="35"/>
      <c r="D1025" s="35"/>
      <c r="E1025" s="35"/>
      <c r="F1025" s="35"/>
      <c r="G1025" s="35"/>
      <c r="H1025" s="35"/>
      <c r="I1025" s="35"/>
      <c r="J1025" s="35"/>
      <c r="K1025" s="35"/>
      <c r="L1025" s="35"/>
      <c r="M1025" s="35"/>
      <c r="N1025" s="35"/>
      <c r="O1025" s="35"/>
      <c r="P1025" s="35"/>
      <c r="Q1025" s="35"/>
      <c r="R1025" s="35"/>
      <c r="S1025" s="35"/>
      <c r="T1025" s="35"/>
      <c r="U1025" s="35"/>
      <c r="V1025" s="35"/>
      <c r="W1025" s="35"/>
    </row>
    <row r="1026" spans="1:23" ht="12.75">
      <c r="A1026" s="35"/>
      <c r="B1026" s="35"/>
      <c r="C1026" s="35"/>
      <c r="D1026" s="35"/>
      <c r="E1026" s="35"/>
      <c r="F1026" s="35"/>
      <c r="G1026" s="35"/>
      <c r="H1026" s="35"/>
      <c r="I1026" s="35"/>
      <c r="J1026" s="35"/>
      <c r="K1026" s="35"/>
      <c r="L1026" s="35"/>
      <c r="M1026" s="35"/>
      <c r="N1026" s="35"/>
      <c r="O1026" s="35"/>
      <c r="P1026" s="35"/>
      <c r="Q1026" s="35"/>
      <c r="R1026" s="35"/>
      <c r="S1026" s="35"/>
      <c r="T1026" s="35"/>
      <c r="U1026" s="35"/>
      <c r="V1026" s="35"/>
      <c r="W1026" s="35"/>
    </row>
    <row r="1027" spans="1:23" ht="12.75">
      <c r="A1027" s="35"/>
      <c r="B1027" s="35"/>
      <c r="C1027" s="35"/>
      <c r="D1027" s="35"/>
      <c r="E1027" s="35"/>
      <c r="F1027" s="35"/>
      <c r="G1027" s="35"/>
      <c r="H1027" s="35"/>
      <c r="I1027" s="35"/>
      <c r="J1027" s="35"/>
      <c r="K1027" s="35"/>
      <c r="L1027" s="35"/>
      <c r="M1027" s="35"/>
      <c r="N1027" s="35"/>
      <c r="O1027" s="35"/>
      <c r="P1027" s="35"/>
      <c r="Q1027" s="35"/>
      <c r="R1027" s="35"/>
      <c r="S1027" s="35"/>
      <c r="T1027" s="35"/>
      <c r="U1027" s="35"/>
      <c r="V1027" s="35"/>
      <c r="W1027" s="35"/>
    </row>
    <row r="1028" spans="1:23" ht="12.75">
      <c r="A1028" s="35"/>
      <c r="B1028" s="35"/>
      <c r="C1028" s="35"/>
      <c r="D1028" s="35"/>
      <c r="E1028" s="35"/>
      <c r="F1028" s="35"/>
      <c r="G1028" s="35"/>
      <c r="H1028" s="35"/>
      <c r="I1028" s="35"/>
      <c r="J1028" s="35"/>
      <c r="K1028" s="35"/>
      <c r="L1028" s="35"/>
      <c r="M1028" s="35"/>
      <c r="N1028" s="35"/>
      <c r="O1028" s="35"/>
      <c r="P1028" s="35"/>
      <c r="Q1028" s="35"/>
      <c r="R1028" s="35"/>
      <c r="S1028" s="35"/>
      <c r="T1028" s="35"/>
      <c r="U1028" s="35"/>
      <c r="V1028" s="35"/>
      <c r="W1028" s="35"/>
    </row>
    <row r="1029" spans="1:23" ht="12.75">
      <c r="A1029" s="35"/>
      <c r="B1029" s="35"/>
      <c r="C1029" s="35"/>
      <c r="D1029" s="35"/>
      <c r="E1029" s="35"/>
      <c r="F1029" s="35"/>
      <c r="G1029" s="35"/>
      <c r="H1029" s="35"/>
      <c r="I1029" s="35"/>
      <c r="J1029" s="35"/>
      <c r="K1029" s="35"/>
      <c r="L1029" s="35"/>
      <c r="M1029" s="35"/>
      <c r="N1029" s="35"/>
      <c r="O1029" s="35"/>
      <c r="P1029" s="35"/>
      <c r="Q1029" s="35"/>
      <c r="R1029" s="35"/>
      <c r="S1029" s="35"/>
      <c r="T1029" s="35"/>
      <c r="U1029" s="35"/>
      <c r="V1029" s="35"/>
      <c r="W1029" s="35"/>
    </row>
    <row r="1030" spans="1:23" ht="12.75">
      <c r="A1030" s="35"/>
      <c r="B1030" s="35"/>
      <c r="C1030" s="35"/>
      <c r="D1030" s="35"/>
      <c r="E1030" s="35"/>
      <c r="F1030" s="35"/>
      <c r="G1030" s="35"/>
      <c r="H1030" s="35"/>
      <c r="I1030" s="35"/>
      <c r="J1030" s="35"/>
      <c r="K1030" s="35"/>
      <c r="L1030" s="35"/>
      <c r="M1030" s="35"/>
      <c r="N1030" s="35"/>
      <c r="O1030" s="35"/>
      <c r="P1030" s="35"/>
      <c r="Q1030" s="35"/>
      <c r="R1030" s="35"/>
      <c r="S1030" s="35"/>
      <c r="T1030" s="35"/>
      <c r="U1030" s="35"/>
      <c r="V1030" s="35"/>
      <c r="W1030" s="35"/>
    </row>
    <row r="1031" spans="1:23" ht="12.75">
      <c r="A1031" s="35"/>
      <c r="B1031" s="35"/>
      <c r="C1031" s="35"/>
      <c r="D1031" s="35"/>
      <c r="E1031" s="35"/>
      <c r="F1031" s="35"/>
      <c r="G1031" s="35"/>
      <c r="H1031" s="35"/>
      <c r="I1031" s="35"/>
      <c r="J1031" s="35"/>
      <c r="K1031" s="35"/>
      <c r="L1031" s="35"/>
      <c r="M1031" s="35"/>
      <c r="N1031" s="35"/>
      <c r="O1031" s="35"/>
      <c r="P1031" s="35"/>
      <c r="Q1031" s="35"/>
      <c r="R1031" s="35"/>
      <c r="S1031" s="35"/>
      <c r="T1031" s="35"/>
      <c r="U1031" s="35"/>
      <c r="V1031" s="35"/>
      <c r="W1031" s="35"/>
    </row>
    <row r="1032" spans="1:23" ht="12.75">
      <c r="A1032" s="35"/>
      <c r="B1032" s="35"/>
      <c r="C1032" s="35"/>
      <c r="D1032" s="35"/>
      <c r="E1032" s="35"/>
      <c r="F1032" s="35"/>
      <c r="G1032" s="35"/>
      <c r="H1032" s="35"/>
      <c r="I1032" s="35"/>
      <c r="J1032" s="35"/>
      <c r="K1032" s="35"/>
      <c r="L1032" s="35"/>
      <c r="M1032" s="35"/>
      <c r="N1032" s="35"/>
      <c r="O1032" s="35"/>
      <c r="P1032" s="35"/>
      <c r="Q1032" s="35"/>
      <c r="R1032" s="35"/>
      <c r="S1032" s="35"/>
      <c r="T1032" s="35"/>
      <c r="U1032" s="35"/>
      <c r="V1032" s="35"/>
      <c r="W1032" s="35"/>
    </row>
    <row r="1033" spans="1:23" ht="12.75">
      <c r="A1033" s="35"/>
      <c r="B1033" s="35"/>
      <c r="C1033" s="35"/>
      <c r="D1033" s="35"/>
      <c r="E1033" s="35"/>
      <c r="F1033" s="35"/>
      <c r="G1033" s="35"/>
      <c r="H1033" s="35"/>
      <c r="I1033" s="35"/>
      <c r="J1033" s="35"/>
      <c r="K1033" s="35"/>
      <c r="L1033" s="35"/>
      <c r="M1033" s="35"/>
      <c r="N1033" s="35"/>
      <c r="O1033" s="35"/>
      <c r="P1033" s="35"/>
      <c r="Q1033" s="35"/>
      <c r="R1033" s="35"/>
      <c r="S1033" s="35"/>
      <c r="T1033" s="35"/>
      <c r="U1033" s="35"/>
      <c r="V1033" s="35"/>
      <c r="W1033" s="35"/>
    </row>
    <row r="1034" spans="1:23" ht="12.75">
      <c r="A1034" s="35"/>
      <c r="B1034" s="35"/>
      <c r="C1034" s="35"/>
      <c r="D1034" s="35"/>
      <c r="E1034" s="35"/>
      <c r="F1034" s="35"/>
      <c r="G1034" s="35"/>
      <c r="H1034" s="35"/>
      <c r="I1034" s="35"/>
      <c r="J1034" s="35"/>
      <c r="K1034" s="35"/>
      <c r="L1034" s="35"/>
      <c r="M1034" s="35"/>
      <c r="N1034" s="35"/>
      <c r="O1034" s="35"/>
      <c r="P1034" s="35"/>
      <c r="Q1034" s="35"/>
      <c r="R1034" s="35"/>
      <c r="S1034" s="35"/>
      <c r="T1034" s="35"/>
      <c r="U1034" s="35"/>
      <c r="V1034" s="35"/>
      <c r="W1034" s="35"/>
    </row>
    <row r="1035" spans="1:23" ht="12.75">
      <c r="A1035" s="35"/>
      <c r="B1035" s="35"/>
      <c r="C1035" s="35"/>
      <c r="D1035" s="35"/>
      <c r="E1035" s="35"/>
      <c r="F1035" s="35"/>
      <c r="G1035" s="35"/>
      <c r="H1035" s="35"/>
      <c r="I1035" s="35"/>
      <c r="J1035" s="35"/>
      <c r="K1035" s="35"/>
      <c r="L1035" s="35"/>
      <c r="M1035" s="35"/>
      <c r="N1035" s="35"/>
      <c r="O1035" s="35"/>
      <c r="P1035" s="35"/>
      <c r="Q1035" s="35"/>
      <c r="R1035" s="35"/>
      <c r="S1035" s="35"/>
      <c r="T1035" s="35"/>
      <c r="U1035" s="35"/>
      <c r="V1035" s="35"/>
      <c r="W1035" s="35"/>
    </row>
    <row r="1036" spans="1:23" ht="12.75">
      <c r="A1036" s="35"/>
      <c r="B1036" s="35"/>
      <c r="C1036" s="35"/>
      <c r="D1036" s="35"/>
      <c r="E1036" s="35"/>
      <c r="F1036" s="35"/>
      <c r="G1036" s="35"/>
      <c r="H1036" s="35"/>
      <c r="I1036" s="35"/>
      <c r="J1036" s="35"/>
      <c r="K1036" s="35"/>
      <c r="L1036" s="35"/>
      <c r="M1036" s="35"/>
      <c r="N1036" s="35"/>
      <c r="O1036" s="35"/>
      <c r="P1036" s="35"/>
      <c r="Q1036" s="35"/>
      <c r="R1036" s="35"/>
      <c r="S1036" s="35"/>
      <c r="T1036" s="35"/>
      <c r="U1036" s="35"/>
      <c r="V1036" s="35"/>
      <c r="W1036" s="35"/>
    </row>
    <row r="1037" spans="1:23" ht="12.75">
      <c r="A1037" s="35"/>
      <c r="B1037" s="35"/>
      <c r="C1037" s="35"/>
      <c r="D1037" s="35"/>
      <c r="E1037" s="35"/>
      <c r="F1037" s="35"/>
      <c r="G1037" s="35"/>
      <c r="H1037" s="35"/>
      <c r="I1037" s="35"/>
      <c r="J1037" s="35"/>
      <c r="K1037" s="35"/>
      <c r="L1037" s="35"/>
      <c r="M1037" s="35"/>
      <c r="N1037" s="35"/>
      <c r="O1037" s="35"/>
      <c r="P1037" s="35"/>
      <c r="Q1037" s="35"/>
      <c r="R1037" s="35"/>
      <c r="S1037" s="35"/>
      <c r="T1037" s="35"/>
      <c r="U1037" s="35"/>
      <c r="V1037" s="35"/>
      <c r="W1037" s="35"/>
    </row>
    <row r="1038" spans="1:23" ht="12.75">
      <c r="A1038" s="35"/>
      <c r="B1038" s="35"/>
      <c r="C1038" s="35"/>
      <c r="D1038" s="35"/>
      <c r="E1038" s="35"/>
      <c r="F1038" s="35"/>
      <c r="G1038" s="35"/>
      <c r="H1038" s="35"/>
      <c r="I1038" s="35"/>
      <c r="J1038" s="35"/>
      <c r="K1038" s="35"/>
      <c r="L1038" s="35"/>
      <c r="M1038" s="35"/>
      <c r="N1038" s="35"/>
      <c r="O1038" s="35"/>
      <c r="P1038" s="35"/>
      <c r="Q1038" s="35"/>
      <c r="R1038" s="35"/>
      <c r="S1038" s="35"/>
      <c r="T1038" s="35"/>
      <c r="U1038" s="35"/>
      <c r="V1038" s="35"/>
      <c r="W1038" s="35"/>
    </row>
    <row r="1039" spans="1:23" ht="12.75">
      <c r="A1039" s="35"/>
      <c r="B1039" s="35"/>
      <c r="C1039" s="35"/>
      <c r="D1039" s="35"/>
      <c r="E1039" s="35"/>
      <c r="F1039" s="35"/>
      <c r="G1039" s="35"/>
      <c r="H1039" s="35"/>
      <c r="I1039" s="35"/>
      <c r="J1039" s="35"/>
      <c r="K1039" s="35"/>
      <c r="L1039" s="35"/>
      <c r="M1039" s="35"/>
      <c r="N1039" s="35"/>
      <c r="O1039" s="35"/>
      <c r="P1039" s="35"/>
      <c r="Q1039" s="35"/>
      <c r="R1039" s="35"/>
      <c r="S1039" s="35"/>
      <c r="T1039" s="35"/>
      <c r="U1039" s="35"/>
      <c r="V1039" s="35"/>
      <c r="W1039" s="35"/>
    </row>
    <row r="1040" spans="1:23" ht="12.75">
      <c r="A1040" s="35"/>
      <c r="B1040" s="35"/>
      <c r="C1040" s="35"/>
      <c r="D1040" s="35"/>
      <c r="E1040" s="35"/>
      <c r="F1040" s="35"/>
      <c r="G1040" s="35"/>
      <c r="H1040" s="35"/>
      <c r="I1040" s="35"/>
      <c r="J1040" s="35"/>
      <c r="K1040" s="35"/>
      <c r="L1040" s="35"/>
      <c r="M1040" s="35"/>
      <c r="N1040" s="35"/>
      <c r="O1040" s="35"/>
      <c r="P1040" s="35"/>
      <c r="Q1040" s="35"/>
      <c r="R1040" s="35"/>
      <c r="S1040" s="35"/>
      <c r="T1040" s="35"/>
      <c r="U1040" s="35"/>
      <c r="V1040" s="35"/>
      <c r="W1040" s="35"/>
    </row>
    <row r="1041" spans="1:23" ht="12.75">
      <c r="A1041" s="35"/>
      <c r="B1041" s="35"/>
      <c r="C1041" s="35"/>
      <c r="D1041" s="35"/>
      <c r="E1041" s="35"/>
      <c r="F1041" s="35"/>
      <c r="G1041" s="35"/>
      <c r="H1041" s="35"/>
      <c r="I1041" s="35"/>
      <c r="J1041" s="35"/>
      <c r="K1041" s="35"/>
      <c r="L1041" s="35"/>
      <c r="M1041" s="35"/>
      <c r="N1041" s="35"/>
      <c r="O1041" s="35"/>
      <c r="P1041" s="35"/>
      <c r="Q1041" s="35"/>
      <c r="R1041" s="35"/>
      <c r="S1041" s="35"/>
      <c r="T1041" s="35"/>
      <c r="U1041" s="35"/>
      <c r="V1041" s="35"/>
      <c r="W1041" s="35"/>
    </row>
    <row r="1042" spans="1:23" ht="12.75">
      <c r="A1042" s="35"/>
      <c r="B1042" s="35"/>
      <c r="C1042" s="35"/>
      <c r="D1042" s="35"/>
      <c r="E1042" s="35"/>
      <c r="F1042" s="35"/>
      <c r="G1042" s="35"/>
      <c r="H1042" s="35"/>
      <c r="I1042" s="35"/>
      <c r="J1042" s="35"/>
      <c r="K1042" s="35"/>
      <c r="L1042" s="35"/>
      <c r="M1042" s="35"/>
      <c r="N1042" s="35"/>
      <c r="O1042" s="35"/>
      <c r="P1042" s="35"/>
      <c r="Q1042" s="35"/>
      <c r="R1042" s="35"/>
      <c r="S1042" s="35"/>
      <c r="T1042" s="35"/>
      <c r="U1042" s="35"/>
      <c r="V1042" s="35"/>
      <c r="W1042" s="35"/>
    </row>
    <row r="1043" spans="1:23" ht="12.75">
      <c r="A1043" s="35"/>
      <c r="B1043" s="35"/>
      <c r="C1043" s="35"/>
      <c r="D1043" s="35"/>
      <c r="E1043" s="35"/>
      <c r="F1043" s="35"/>
      <c r="G1043" s="35"/>
      <c r="H1043" s="35"/>
      <c r="I1043" s="35"/>
      <c r="J1043" s="35"/>
      <c r="K1043" s="35"/>
      <c r="L1043" s="35"/>
      <c r="M1043" s="35"/>
      <c r="N1043" s="35"/>
      <c r="O1043" s="35"/>
      <c r="P1043" s="35"/>
      <c r="Q1043" s="35"/>
      <c r="R1043" s="35"/>
      <c r="S1043" s="35"/>
      <c r="T1043" s="35"/>
      <c r="U1043" s="35"/>
      <c r="V1043" s="35"/>
      <c r="W1043" s="35"/>
    </row>
    <row r="1044" spans="1:23" ht="12.75">
      <c r="A1044" s="35"/>
      <c r="B1044" s="35"/>
      <c r="C1044" s="35"/>
      <c r="D1044" s="35"/>
      <c r="E1044" s="35"/>
      <c r="F1044" s="35"/>
      <c r="G1044" s="35"/>
      <c r="H1044" s="35"/>
      <c r="I1044" s="35"/>
      <c r="J1044" s="35"/>
      <c r="K1044" s="35"/>
      <c r="L1044" s="35"/>
      <c r="M1044" s="35"/>
      <c r="N1044" s="35"/>
      <c r="O1044" s="35"/>
      <c r="P1044" s="35"/>
      <c r="Q1044" s="35"/>
      <c r="R1044" s="35"/>
      <c r="S1044" s="35"/>
      <c r="T1044" s="35"/>
      <c r="U1044" s="35"/>
      <c r="V1044" s="35"/>
      <c r="W1044" s="35"/>
    </row>
    <row r="1045" spans="1:23" ht="12.75">
      <c r="A1045" s="35"/>
      <c r="B1045" s="35"/>
      <c r="C1045" s="35"/>
      <c r="D1045" s="35"/>
      <c r="E1045" s="35"/>
      <c r="F1045" s="35"/>
      <c r="G1045" s="35"/>
      <c r="H1045" s="35"/>
      <c r="I1045" s="35"/>
      <c r="J1045" s="35"/>
      <c r="K1045" s="35"/>
      <c r="L1045" s="35"/>
      <c r="M1045" s="35"/>
      <c r="N1045" s="35"/>
      <c r="O1045" s="35"/>
      <c r="P1045" s="35"/>
      <c r="Q1045" s="35"/>
      <c r="R1045" s="35"/>
      <c r="S1045" s="35"/>
      <c r="T1045" s="35"/>
      <c r="U1045" s="35"/>
      <c r="V1045" s="35"/>
      <c r="W1045" s="35"/>
    </row>
    <row r="1046" spans="1:23" ht="12.75">
      <c r="A1046" s="35"/>
      <c r="B1046" s="35"/>
      <c r="C1046" s="35"/>
      <c r="D1046" s="35"/>
      <c r="E1046" s="35"/>
      <c r="F1046" s="35"/>
      <c r="G1046" s="35"/>
      <c r="H1046" s="35"/>
      <c r="I1046" s="35"/>
      <c r="J1046" s="35"/>
      <c r="K1046" s="35"/>
      <c r="L1046" s="35"/>
      <c r="M1046" s="35"/>
      <c r="N1046" s="35"/>
      <c r="O1046" s="35"/>
      <c r="P1046" s="35"/>
      <c r="Q1046" s="35"/>
      <c r="R1046" s="35"/>
      <c r="S1046" s="35"/>
      <c r="T1046" s="35"/>
      <c r="U1046" s="35"/>
      <c r="V1046" s="35"/>
      <c r="W1046" s="35"/>
    </row>
    <row r="1047" spans="1:23" ht="12.75">
      <c r="A1047" s="35"/>
      <c r="B1047" s="35"/>
      <c r="C1047" s="35"/>
      <c r="D1047" s="35"/>
      <c r="E1047" s="35"/>
      <c r="F1047" s="35"/>
      <c r="G1047" s="35"/>
      <c r="H1047" s="35"/>
      <c r="I1047" s="35"/>
      <c r="J1047" s="35"/>
      <c r="K1047" s="35"/>
      <c r="L1047" s="35"/>
      <c r="M1047" s="35"/>
      <c r="N1047" s="35"/>
      <c r="O1047" s="35"/>
      <c r="P1047" s="35"/>
      <c r="Q1047" s="35"/>
      <c r="R1047" s="35"/>
      <c r="S1047" s="35"/>
      <c r="T1047" s="35"/>
      <c r="U1047" s="35"/>
      <c r="V1047" s="35"/>
      <c r="W1047" s="35"/>
    </row>
  </sheetData>
  <mergeCells count="3">
    <mergeCell ref="A22:B22"/>
    <mergeCell ref="A23:B23"/>
    <mergeCell ref="A24:B24"/>
  </mergeCells>
  <conditionalFormatting sqref="T20:V26 T28:V62">
    <cfRule type="cellIs" dxfId="2" priority="1" operator="greaterThan">
      <formula>0</formula>
    </cfRule>
  </conditionalFormatting>
  <conditionalFormatting sqref="C28:G32 H28:H29 D45:D62 G45:G62">
    <cfRule type="cellIs" dxfId="1" priority="2" operator="greaterThan">
      <formula>0</formula>
    </cfRule>
  </conditionalFormatting>
  <conditionalFormatting sqref="C28:G32 H28:H29 D45:D62 G45:G62">
    <cfRule type="cellIs" dxfId="0" priority="3" operator="lessThan">
      <formula>0</formula>
    </cfRule>
  </conditionalFormatting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F7"/>
  <sheetViews>
    <sheetView workbookViewId="0"/>
  </sheetViews>
  <sheetFormatPr defaultColWidth="14.42578125" defaultRowHeight="15.75" customHeight="1"/>
  <cols>
    <col min="1" max="1" width="25.28515625" customWidth="1"/>
    <col min="2" max="2" width="6.28515625" customWidth="1"/>
  </cols>
  <sheetData>
    <row r="1" spans="1:6">
      <c r="A1" s="20"/>
      <c r="B1" s="21"/>
      <c r="C1" s="22" t="s">
        <v>35</v>
      </c>
      <c r="D1" s="22" t="s">
        <v>36</v>
      </c>
      <c r="E1" s="22" t="s">
        <v>37</v>
      </c>
      <c r="F1" s="22" t="s">
        <v>38</v>
      </c>
    </row>
    <row r="2" spans="1:6">
      <c r="A2" s="127" t="s">
        <v>2</v>
      </c>
      <c r="B2" s="126"/>
      <c r="C2" s="24">
        <v>0.1922252278522886</v>
      </c>
      <c r="D2" s="24">
        <v>0.77300227868827387</v>
      </c>
      <c r="E2" s="24">
        <v>1.5137291121466472</v>
      </c>
      <c r="F2" s="24">
        <v>2.9479414841226004</v>
      </c>
    </row>
    <row r="3" spans="1:6">
      <c r="A3" s="127" t="s">
        <v>3</v>
      </c>
      <c r="B3" s="126"/>
      <c r="C3" s="24">
        <v>0.11789592867607007</v>
      </c>
      <c r="D3" s="24">
        <v>0.48801306848510206</v>
      </c>
      <c r="E3" s="24">
        <v>0.78842839132172537</v>
      </c>
      <c r="F3" s="24">
        <v>1.2474799160436501</v>
      </c>
    </row>
    <row r="4" spans="1:6">
      <c r="A4" s="127" t="s">
        <v>40</v>
      </c>
      <c r="B4" s="126"/>
      <c r="C4" s="24">
        <v>9.6799999999999997E-2</v>
      </c>
      <c r="D4" s="24">
        <v>0.32500000000000001</v>
      </c>
      <c r="E4" s="24">
        <v>0.7409</v>
      </c>
      <c r="F4" s="24">
        <v>1.5375000000000001</v>
      </c>
    </row>
    <row r="5" spans="1:6">
      <c r="A5" s="127" t="s">
        <v>159</v>
      </c>
      <c r="B5" s="126"/>
      <c r="C5" s="24">
        <v>-4.5900000000000003E-2</v>
      </c>
      <c r="D5" s="24">
        <v>0.58020000000000005</v>
      </c>
      <c r="E5" s="24">
        <v>0.98409999999999997</v>
      </c>
      <c r="F5" s="24">
        <v>2.4895</v>
      </c>
    </row>
    <row r="6" spans="1:6">
      <c r="A6" s="125" t="s">
        <v>39</v>
      </c>
      <c r="B6" s="126"/>
      <c r="C6" s="25">
        <v>5.6868845071217131E-2</v>
      </c>
      <c r="D6" s="25">
        <v>0.21701236976297558</v>
      </c>
      <c r="E6" s="25">
        <v>0.36246042949443941</v>
      </c>
      <c r="F6" s="25">
        <v>0.58397849870930096</v>
      </c>
    </row>
    <row r="7" spans="1:6">
      <c r="A7" s="125" t="s">
        <v>4</v>
      </c>
      <c r="B7" s="126"/>
      <c r="C7" s="25">
        <v>0.12377086578709605</v>
      </c>
      <c r="D7" s="25">
        <v>0.39851336905764062</v>
      </c>
      <c r="E7" s="25">
        <v>0.62516594010816595</v>
      </c>
      <c r="F7" s="25">
        <v>1.1880924857031794</v>
      </c>
    </row>
  </sheetData>
  <mergeCells count="6">
    <mergeCell ref="A7:B7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V1000"/>
  <sheetViews>
    <sheetView workbookViewId="0"/>
  </sheetViews>
  <sheetFormatPr defaultColWidth="14.42578125" defaultRowHeight="15.75" customHeight="1"/>
  <cols>
    <col min="2" max="2" width="23.7109375" customWidth="1"/>
  </cols>
  <sheetData>
    <row r="1" spans="1:20" ht="15.75" customHeight="1">
      <c r="A1" s="70" t="s">
        <v>73</v>
      </c>
      <c r="B1" s="70" t="s">
        <v>0</v>
      </c>
      <c r="C1" s="70" t="s">
        <v>74</v>
      </c>
      <c r="D1" s="108" t="s">
        <v>61</v>
      </c>
      <c r="E1" s="108" t="s">
        <v>75</v>
      </c>
    </row>
    <row r="2" spans="1:20" ht="15.75" customHeight="1">
      <c r="A2" s="71">
        <v>42398</v>
      </c>
      <c r="B2" s="70" t="s">
        <v>157</v>
      </c>
      <c r="C2" s="70" t="s">
        <v>153</v>
      </c>
      <c r="D2" s="72">
        <v>-1.917E-2</v>
      </c>
      <c r="E2" s="72">
        <v>-2.0389999999999998E-2</v>
      </c>
    </row>
    <row r="3" spans="1:20" ht="15.75" customHeight="1">
      <c r="A3" s="71">
        <v>42429</v>
      </c>
      <c r="B3" s="70" t="s">
        <v>160</v>
      </c>
      <c r="C3" s="70" t="s">
        <v>153</v>
      </c>
      <c r="D3" s="72">
        <v>1.3018999999999999E-2</v>
      </c>
      <c r="E3" s="72">
        <v>-4.0899999999999999E-3</v>
      </c>
    </row>
    <row r="4" spans="1:20" ht="15.75" customHeight="1">
      <c r="A4" s="71">
        <v>42460</v>
      </c>
      <c r="B4" s="70" t="s">
        <v>160</v>
      </c>
      <c r="C4" s="70" t="s">
        <v>153</v>
      </c>
      <c r="D4" s="72">
        <v>4.6700000000000002E-4</v>
      </c>
      <c r="E4" s="72">
        <v>4.0822999999999998E-2</v>
      </c>
    </row>
    <row r="5" spans="1:20" ht="15.75" customHeight="1">
      <c r="A5" s="71">
        <v>42489</v>
      </c>
      <c r="B5" s="70" t="s">
        <v>161</v>
      </c>
      <c r="C5" s="70" t="s">
        <v>153</v>
      </c>
      <c r="D5" s="72">
        <v>4.2009999999999999E-3</v>
      </c>
      <c r="E5" s="72">
        <v>8.0169999999999998E-3</v>
      </c>
    </row>
    <row r="6" spans="1:20" ht="15.75" customHeight="1">
      <c r="A6" s="74">
        <v>42521</v>
      </c>
      <c r="B6" s="70" t="s">
        <v>154</v>
      </c>
      <c r="C6" s="70" t="s">
        <v>155</v>
      </c>
      <c r="D6" s="72">
        <v>1.4737E-2</v>
      </c>
      <c r="E6" s="72">
        <v>4.5519999999999996E-3</v>
      </c>
    </row>
    <row r="7" spans="1:20" ht="15.75" customHeight="1">
      <c r="A7" s="71">
        <v>42551</v>
      </c>
      <c r="B7" s="70" t="s">
        <v>152</v>
      </c>
      <c r="C7" s="70" t="s">
        <v>153</v>
      </c>
      <c r="D7" s="72">
        <v>7.28E-3</v>
      </c>
      <c r="E7" s="72">
        <v>5.927E-3</v>
      </c>
    </row>
    <row r="8" spans="1:20" ht="15.75" customHeight="1">
      <c r="A8" s="71">
        <v>42580</v>
      </c>
      <c r="B8" s="70" t="s">
        <v>162</v>
      </c>
      <c r="C8" s="70" t="s">
        <v>153</v>
      </c>
      <c r="D8" s="72">
        <v>4.3622000000000001E-2</v>
      </c>
      <c r="E8" s="72">
        <v>2.4804E-2</v>
      </c>
      <c r="P8" s="73">
        <v>100</v>
      </c>
      <c r="Q8" s="73">
        <f t="shared" ref="Q8:Q67" si="0">P8*(1+$D8)</f>
        <v>104.3622</v>
      </c>
      <c r="S8" s="73">
        <v>100</v>
      </c>
      <c r="T8" s="73">
        <f t="shared" ref="T8:T67" si="1">S8*(1+$E8)</f>
        <v>102.4804</v>
      </c>
    </row>
    <row r="9" spans="1:20" ht="15.75" customHeight="1">
      <c r="A9" s="71">
        <v>42613</v>
      </c>
      <c r="B9" s="70" t="s">
        <v>157</v>
      </c>
      <c r="C9" s="70" t="s">
        <v>153</v>
      </c>
      <c r="D9" s="72">
        <v>2.2550000000000001E-3</v>
      </c>
      <c r="E9" s="72">
        <v>-1.7899999999999999E-3</v>
      </c>
      <c r="P9" s="73">
        <f t="shared" ref="P9:P67" si="2">Q8</f>
        <v>104.3622</v>
      </c>
      <c r="Q9" s="73">
        <f t="shared" si="0"/>
        <v>104.59753676099999</v>
      </c>
      <c r="S9" s="73">
        <f t="shared" ref="S9:S67" si="3">T8</f>
        <v>102.4804</v>
      </c>
      <c r="T9" s="73">
        <f t="shared" si="1"/>
        <v>102.29696008400001</v>
      </c>
    </row>
    <row r="10" spans="1:20" ht="15.75" customHeight="1">
      <c r="A10" s="71">
        <v>42643</v>
      </c>
      <c r="B10" s="70" t="s">
        <v>162</v>
      </c>
      <c r="C10" s="70" t="s">
        <v>153</v>
      </c>
      <c r="D10" s="72">
        <v>4.2700000000000002E-4</v>
      </c>
      <c r="E10" s="72">
        <v>5.581E-3</v>
      </c>
      <c r="P10" s="73">
        <f t="shared" si="2"/>
        <v>104.59753676099999</v>
      </c>
      <c r="Q10" s="73">
        <f t="shared" si="0"/>
        <v>104.64219990919693</v>
      </c>
      <c r="S10" s="73">
        <f t="shared" si="3"/>
        <v>102.29696008400001</v>
      </c>
      <c r="T10" s="73">
        <f t="shared" si="1"/>
        <v>102.86787941822881</v>
      </c>
    </row>
    <row r="11" spans="1:20" ht="15.75" customHeight="1">
      <c r="A11" s="71">
        <v>42674</v>
      </c>
      <c r="B11" s="70" t="s">
        <v>158</v>
      </c>
      <c r="C11" s="70" t="s">
        <v>155</v>
      </c>
      <c r="D11" s="72">
        <v>-1.174E-2</v>
      </c>
      <c r="E11" s="72">
        <v>-1.9199999999999998E-2</v>
      </c>
      <c r="P11" s="73">
        <f t="shared" si="2"/>
        <v>104.64219990919693</v>
      </c>
      <c r="Q11" s="73">
        <f t="shared" si="0"/>
        <v>103.41370048226297</v>
      </c>
      <c r="S11" s="73">
        <f t="shared" si="3"/>
        <v>102.86787941822881</v>
      </c>
      <c r="T11" s="73">
        <f t="shared" si="1"/>
        <v>100.89281613339882</v>
      </c>
    </row>
    <row r="12" spans="1:20" ht="15.75" customHeight="1">
      <c r="A12" s="71">
        <v>42704</v>
      </c>
      <c r="B12" s="70" t="s">
        <v>158</v>
      </c>
      <c r="C12" s="70" t="s">
        <v>155</v>
      </c>
      <c r="D12" s="72">
        <v>3.127E-3</v>
      </c>
      <c r="E12" s="72">
        <v>-8.7799999999999996E-3</v>
      </c>
      <c r="P12" s="73">
        <f t="shared" si="2"/>
        <v>103.41370048226297</v>
      </c>
      <c r="Q12" s="73">
        <f t="shared" si="0"/>
        <v>103.73707512367102</v>
      </c>
      <c r="S12" s="73">
        <f t="shared" si="3"/>
        <v>100.89281613339882</v>
      </c>
      <c r="T12" s="73">
        <f t="shared" si="1"/>
        <v>100.00697720774758</v>
      </c>
    </row>
    <row r="13" spans="1:20" ht="15.75" customHeight="1">
      <c r="A13" s="71">
        <v>42734</v>
      </c>
      <c r="B13" s="70" t="s">
        <v>152</v>
      </c>
      <c r="C13" s="70" t="s">
        <v>153</v>
      </c>
      <c r="D13" s="72">
        <v>2.5020000000000001E-2</v>
      </c>
      <c r="E13" s="72">
        <v>1.3599999999999999E-2</v>
      </c>
      <c r="P13" s="73">
        <f t="shared" si="2"/>
        <v>103.73707512367102</v>
      </c>
      <c r="Q13" s="73">
        <f t="shared" si="0"/>
        <v>106.33257674326528</v>
      </c>
      <c r="S13" s="73">
        <f t="shared" si="3"/>
        <v>100.00697720774758</v>
      </c>
      <c r="T13" s="73">
        <f t="shared" si="1"/>
        <v>101.36707209777296</v>
      </c>
    </row>
    <row r="14" spans="1:20" ht="15.75" customHeight="1">
      <c r="A14" s="71">
        <v>42766</v>
      </c>
      <c r="B14" s="70" t="s">
        <v>152</v>
      </c>
      <c r="C14" s="70" t="s">
        <v>153</v>
      </c>
      <c r="D14" s="72">
        <v>6.7390000000000002E-3</v>
      </c>
      <c r="E14" s="72">
        <v>1.6317000000000002E-2</v>
      </c>
      <c r="P14" s="73">
        <f t="shared" si="2"/>
        <v>106.33257674326528</v>
      </c>
      <c r="Q14" s="73">
        <f t="shared" si="0"/>
        <v>107.04915197793815</v>
      </c>
      <c r="S14" s="73">
        <f t="shared" si="3"/>
        <v>101.36707209777296</v>
      </c>
      <c r="T14" s="73">
        <f t="shared" si="1"/>
        <v>103.02107861319232</v>
      </c>
    </row>
    <row r="15" spans="1:20" ht="15.75" customHeight="1">
      <c r="A15" s="71">
        <v>42794</v>
      </c>
      <c r="B15" s="70" t="s">
        <v>152</v>
      </c>
      <c r="C15" s="70" t="s">
        <v>153</v>
      </c>
      <c r="D15" s="72">
        <v>1.6858000000000001E-2</v>
      </c>
      <c r="E15" s="72">
        <v>1.7555000000000001E-2</v>
      </c>
      <c r="P15" s="73">
        <f t="shared" si="2"/>
        <v>107.04915197793815</v>
      </c>
      <c r="Q15" s="73">
        <f t="shared" si="0"/>
        <v>108.85378658198223</v>
      </c>
      <c r="S15" s="73">
        <f t="shared" si="3"/>
        <v>103.02107861319232</v>
      </c>
      <c r="T15" s="73">
        <f t="shared" si="1"/>
        <v>104.82961364824691</v>
      </c>
    </row>
    <row r="16" spans="1:20" ht="15.75" customHeight="1">
      <c r="A16" s="71">
        <v>42825</v>
      </c>
      <c r="B16" s="70" t="s">
        <v>158</v>
      </c>
      <c r="C16" s="70" t="s">
        <v>155</v>
      </c>
      <c r="D16" s="72">
        <v>1.0926E-2</v>
      </c>
      <c r="E16" s="72">
        <v>1.0187E-2</v>
      </c>
      <c r="P16" s="73">
        <f t="shared" si="2"/>
        <v>108.85378658198223</v>
      </c>
      <c r="Q16" s="73">
        <f t="shared" si="0"/>
        <v>110.04312305417697</v>
      </c>
      <c r="S16" s="73">
        <f t="shared" si="3"/>
        <v>104.82961364824691</v>
      </c>
      <c r="T16" s="73">
        <f t="shared" si="1"/>
        <v>105.8975129224816</v>
      </c>
    </row>
    <row r="17" spans="1:20" ht="15.75" customHeight="1">
      <c r="A17" s="71">
        <v>42853</v>
      </c>
      <c r="B17" s="70" t="s">
        <v>158</v>
      </c>
      <c r="C17" s="70" t="s">
        <v>155</v>
      </c>
      <c r="D17" s="72">
        <v>2.0514999999999999E-2</v>
      </c>
      <c r="E17" s="72">
        <v>1.4893999999999999E-2</v>
      </c>
      <c r="P17" s="73">
        <f t="shared" si="2"/>
        <v>110.04312305417697</v>
      </c>
      <c r="Q17" s="73">
        <f t="shared" si="0"/>
        <v>112.30065772363342</v>
      </c>
      <c r="S17" s="73">
        <f t="shared" si="3"/>
        <v>105.8975129224816</v>
      </c>
      <c r="T17" s="73">
        <f t="shared" si="1"/>
        <v>107.47475047994904</v>
      </c>
    </row>
    <row r="18" spans="1:20" ht="15.75" customHeight="1">
      <c r="A18" s="74">
        <v>42886</v>
      </c>
      <c r="B18" s="70" t="s">
        <v>157</v>
      </c>
      <c r="C18" s="70" t="s">
        <v>153</v>
      </c>
      <c r="D18" s="72">
        <v>3.0942000000000001E-2</v>
      </c>
      <c r="E18" s="72">
        <v>1.6971E-2</v>
      </c>
      <c r="P18" s="73">
        <f t="shared" si="2"/>
        <v>112.30065772363342</v>
      </c>
      <c r="Q18" s="73">
        <f t="shared" si="0"/>
        <v>115.77546467491808</v>
      </c>
      <c r="S18" s="73">
        <f t="shared" si="3"/>
        <v>107.47475047994904</v>
      </c>
      <c r="T18" s="73">
        <f t="shared" si="1"/>
        <v>109.29870447034426</v>
      </c>
    </row>
    <row r="19" spans="1:20" ht="15.75" customHeight="1">
      <c r="A19" s="71">
        <v>42916</v>
      </c>
      <c r="B19" s="70" t="s">
        <v>157</v>
      </c>
      <c r="C19" s="70" t="s">
        <v>153</v>
      </c>
      <c r="D19" s="72">
        <v>-1.073E-2</v>
      </c>
      <c r="E19" s="72">
        <v>1.7290000000000001E-3</v>
      </c>
      <c r="P19" s="73">
        <f t="shared" si="2"/>
        <v>115.77546467491808</v>
      </c>
      <c r="Q19" s="73">
        <f t="shared" si="0"/>
        <v>114.53319393895622</v>
      </c>
      <c r="S19" s="73">
        <f t="shared" si="3"/>
        <v>109.29870447034426</v>
      </c>
      <c r="T19" s="73">
        <f t="shared" si="1"/>
        <v>109.4876819303735</v>
      </c>
    </row>
    <row r="20" spans="1:20" ht="15.75" customHeight="1">
      <c r="A20" s="71">
        <v>42947</v>
      </c>
      <c r="B20" s="70" t="s">
        <v>157</v>
      </c>
      <c r="C20" s="70" t="s">
        <v>153</v>
      </c>
      <c r="D20" s="72">
        <v>2.1735999999999998E-2</v>
      </c>
      <c r="E20" s="72">
        <v>1.5103E-2</v>
      </c>
      <c r="P20" s="73">
        <f t="shared" si="2"/>
        <v>114.53319393895622</v>
      </c>
      <c r="Q20" s="73">
        <f t="shared" si="0"/>
        <v>117.02268744241337</v>
      </c>
      <c r="S20" s="73">
        <f t="shared" si="3"/>
        <v>109.4876819303735</v>
      </c>
      <c r="T20" s="73">
        <f t="shared" si="1"/>
        <v>111.14127439056794</v>
      </c>
    </row>
    <row r="21" spans="1:20" ht="15.75" customHeight="1">
      <c r="A21" s="71">
        <v>42978</v>
      </c>
      <c r="B21" s="70" t="s">
        <v>157</v>
      </c>
      <c r="C21" s="70" t="s">
        <v>153</v>
      </c>
      <c r="D21" s="72">
        <v>2.6068999999999998E-2</v>
      </c>
      <c r="E21" s="72">
        <v>6.1440000000000002E-3</v>
      </c>
      <c r="P21" s="73">
        <f t="shared" si="2"/>
        <v>117.02268744241337</v>
      </c>
      <c r="Q21" s="73">
        <f t="shared" si="0"/>
        <v>120.07335188134964</v>
      </c>
      <c r="S21" s="73">
        <f t="shared" si="3"/>
        <v>111.14127439056794</v>
      </c>
      <c r="T21" s="73">
        <f t="shared" si="1"/>
        <v>111.82412638042358</v>
      </c>
    </row>
    <row r="22" spans="1:20" ht="15.75" customHeight="1">
      <c r="A22" s="71">
        <v>43007</v>
      </c>
      <c r="B22" s="70" t="s">
        <v>157</v>
      </c>
      <c r="C22" s="70" t="s">
        <v>153</v>
      </c>
      <c r="D22" s="72">
        <v>-1.1039999999999999E-2</v>
      </c>
      <c r="E22" s="72">
        <v>8.652E-3</v>
      </c>
      <c r="H22" s="13" t="s">
        <v>35</v>
      </c>
      <c r="I22" s="13" t="s">
        <v>36</v>
      </c>
      <c r="J22" s="13" t="s">
        <v>37</v>
      </c>
      <c r="K22" s="13" t="s">
        <v>38</v>
      </c>
      <c r="P22" s="73">
        <f t="shared" si="2"/>
        <v>120.07335188134964</v>
      </c>
      <c r="Q22" s="73">
        <f t="shared" si="0"/>
        <v>118.74774207657953</v>
      </c>
      <c r="S22" s="73">
        <f t="shared" si="3"/>
        <v>111.82412638042358</v>
      </c>
      <c r="T22" s="73">
        <f t="shared" si="1"/>
        <v>112.79162872186701</v>
      </c>
    </row>
    <row r="23" spans="1:20" ht="15.75" customHeight="1">
      <c r="A23" s="71">
        <v>43039</v>
      </c>
      <c r="B23" s="70" t="s">
        <v>158</v>
      </c>
      <c r="C23" s="70" t="s">
        <v>155</v>
      </c>
      <c r="D23" s="72">
        <v>2.8462999999999999E-2</v>
      </c>
      <c r="E23" s="72">
        <v>1.0789999999999999E-2</v>
      </c>
      <c r="G23" s="13" t="s">
        <v>3</v>
      </c>
      <c r="H23" s="19">
        <f>H67</f>
        <v>0.11789592867606999</v>
      </c>
      <c r="I23" s="19">
        <f>L67</f>
        <v>0.48801306848510168</v>
      </c>
      <c r="J23" s="19">
        <f>O67</f>
        <v>0.77727951691213493</v>
      </c>
      <c r="K23" s="19">
        <f>R67</f>
        <v>1.2312365142201267</v>
      </c>
      <c r="P23" s="73">
        <f t="shared" si="2"/>
        <v>118.74774207657953</v>
      </c>
      <c r="Q23" s="73">
        <f t="shared" si="0"/>
        <v>122.1276590593052</v>
      </c>
      <c r="S23" s="73">
        <f t="shared" si="3"/>
        <v>112.79162872186701</v>
      </c>
      <c r="T23" s="73">
        <f t="shared" si="1"/>
        <v>114.00865039577597</v>
      </c>
    </row>
    <row r="24" spans="1:20" ht="15.75" customHeight="1">
      <c r="A24" s="71">
        <v>43069</v>
      </c>
      <c r="B24" s="70" t="s">
        <v>152</v>
      </c>
      <c r="C24" s="70" t="s">
        <v>153</v>
      </c>
      <c r="D24" s="72">
        <v>1.6244000000000001E-2</v>
      </c>
      <c r="E24" s="72">
        <v>1.0042000000000001E-2</v>
      </c>
      <c r="G24" s="13" t="s">
        <v>45</v>
      </c>
      <c r="H24" s="19">
        <f>U70</f>
        <v>5.6868845071217311E-2</v>
      </c>
      <c r="I24" s="19">
        <f>U69</f>
        <v>0.21701236976297555</v>
      </c>
      <c r="J24" s="19">
        <f>U68</f>
        <v>0.36491728059951895</v>
      </c>
      <c r="K24" s="19">
        <f>U67</f>
        <v>0.57464557438989317</v>
      </c>
      <c r="P24" s="73">
        <f t="shared" si="2"/>
        <v>122.1276590593052</v>
      </c>
      <c r="Q24" s="73">
        <f t="shared" si="0"/>
        <v>124.11150075306455</v>
      </c>
      <c r="S24" s="73">
        <f t="shared" si="3"/>
        <v>114.00865039577597</v>
      </c>
      <c r="T24" s="73">
        <f t="shared" si="1"/>
        <v>115.15352526305037</v>
      </c>
    </row>
    <row r="25" spans="1:20" ht="15.75" customHeight="1">
      <c r="A25" s="71">
        <v>43098</v>
      </c>
      <c r="B25" s="70" t="s">
        <v>152</v>
      </c>
      <c r="C25" s="70" t="s">
        <v>153</v>
      </c>
      <c r="D25" s="72">
        <v>-1.1999999999999999E-3</v>
      </c>
      <c r="E25" s="72">
        <v>8.2719999999999998E-3</v>
      </c>
      <c r="P25" s="73">
        <f t="shared" si="2"/>
        <v>124.11150075306455</v>
      </c>
      <c r="Q25" s="73">
        <f t="shared" si="0"/>
        <v>123.96256695216087</v>
      </c>
      <c r="S25" s="73">
        <f t="shared" si="3"/>
        <v>115.15352526305037</v>
      </c>
      <c r="T25" s="73">
        <f t="shared" si="1"/>
        <v>116.10607522402633</v>
      </c>
    </row>
    <row r="26" spans="1:20" ht="15.75" customHeight="1">
      <c r="A26" s="71">
        <v>43131</v>
      </c>
      <c r="B26" s="70" t="s">
        <v>157</v>
      </c>
      <c r="C26" s="70" t="s">
        <v>153</v>
      </c>
      <c r="D26" s="72">
        <v>3.952E-2</v>
      </c>
      <c r="E26" s="72">
        <v>2.2155000000000001E-2</v>
      </c>
      <c r="P26" s="73">
        <f t="shared" si="2"/>
        <v>123.96256695216087</v>
      </c>
      <c r="Q26" s="73">
        <f t="shared" si="0"/>
        <v>128.86156759811027</v>
      </c>
      <c r="S26" s="73">
        <f t="shared" si="3"/>
        <v>116.10607522402633</v>
      </c>
      <c r="T26" s="73">
        <f t="shared" si="1"/>
        <v>118.67840532061462</v>
      </c>
    </row>
    <row r="27" spans="1:20" ht="15.75" customHeight="1">
      <c r="A27" s="71">
        <v>43159</v>
      </c>
      <c r="B27" s="70" t="s">
        <v>158</v>
      </c>
      <c r="C27" s="70" t="s">
        <v>155</v>
      </c>
      <c r="D27" s="72">
        <v>-1.136E-2</v>
      </c>
      <c r="E27" s="72">
        <v>-2.9510000000000002E-2</v>
      </c>
      <c r="P27" s="73">
        <f t="shared" si="2"/>
        <v>128.86156759811027</v>
      </c>
      <c r="Q27" s="73">
        <f t="shared" si="0"/>
        <v>127.39770019019574</v>
      </c>
      <c r="S27" s="73">
        <f t="shared" si="3"/>
        <v>118.67840532061462</v>
      </c>
      <c r="T27" s="73">
        <f t="shared" si="1"/>
        <v>115.17620557960328</v>
      </c>
    </row>
    <row r="28" spans="1:20" ht="15.75" customHeight="1">
      <c r="A28" s="71">
        <v>43188</v>
      </c>
      <c r="B28" s="70" t="s">
        <v>158</v>
      </c>
      <c r="C28" s="70" t="s">
        <v>155</v>
      </c>
      <c r="D28" s="72">
        <v>-2.6630000000000001E-2</v>
      </c>
      <c r="E28" s="72">
        <v>-3.7599999999999999E-3</v>
      </c>
      <c r="P28" s="73">
        <f t="shared" si="2"/>
        <v>127.39770019019574</v>
      </c>
      <c r="Q28" s="73">
        <f t="shared" si="0"/>
        <v>124.00509943413081</v>
      </c>
      <c r="S28" s="73">
        <f t="shared" si="3"/>
        <v>115.17620557960328</v>
      </c>
      <c r="T28" s="73">
        <f t="shared" si="1"/>
        <v>114.74314304662397</v>
      </c>
    </row>
    <row r="29" spans="1:20" ht="15.75" customHeight="1">
      <c r="A29" s="71">
        <v>43220</v>
      </c>
      <c r="B29" s="70" t="s">
        <v>158</v>
      </c>
      <c r="C29" s="70" t="s">
        <v>155</v>
      </c>
      <c r="D29" s="72">
        <v>4.9430000000000003E-3</v>
      </c>
      <c r="E29" s="72">
        <v>8.0500000000000005E-4</v>
      </c>
      <c r="P29" s="73">
        <f t="shared" si="2"/>
        <v>124.00509943413081</v>
      </c>
      <c r="Q29" s="73">
        <f t="shared" si="0"/>
        <v>124.61805664063371</v>
      </c>
      <c r="S29" s="73">
        <f t="shared" si="3"/>
        <v>114.74314304662397</v>
      </c>
      <c r="T29" s="73">
        <f t="shared" si="1"/>
        <v>114.8355112767765</v>
      </c>
    </row>
    <row r="30" spans="1:20" ht="15.75" customHeight="1">
      <c r="A30" s="74">
        <v>43251</v>
      </c>
      <c r="B30" s="70" t="s">
        <v>163</v>
      </c>
      <c r="C30" s="70" t="s">
        <v>155</v>
      </c>
      <c r="D30" s="72">
        <v>1.1360000000000001E-3</v>
      </c>
      <c r="E30" s="72">
        <v>6.4279999999999997E-3</v>
      </c>
      <c r="P30" s="73">
        <f t="shared" si="2"/>
        <v>124.61805664063371</v>
      </c>
      <c r="Q30" s="73">
        <f t="shared" si="0"/>
        <v>124.75962275297748</v>
      </c>
      <c r="S30" s="73">
        <f t="shared" si="3"/>
        <v>114.8355112767765</v>
      </c>
      <c r="T30" s="73">
        <f t="shared" si="1"/>
        <v>115.57367394326363</v>
      </c>
    </row>
    <row r="31" spans="1:20" ht="15.75" customHeight="1">
      <c r="A31" s="71">
        <v>43280</v>
      </c>
      <c r="B31" s="70" t="s">
        <v>162</v>
      </c>
      <c r="C31" s="70" t="s">
        <v>153</v>
      </c>
      <c r="D31" s="72">
        <v>6.2729999999999999E-3</v>
      </c>
      <c r="E31" s="72">
        <v>-1.8E-3</v>
      </c>
      <c r="P31" s="73">
        <f t="shared" si="2"/>
        <v>124.75962275297748</v>
      </c>
      <c r="Q31" s="73">
        <f t="shared" si="0"/>
        <v>125.5422398665069</v>
      </c>
      <c r="S31" s="73">
        <f t="shared" si="3"/>
        <v>115.57367394326363</v>
      </c>
      <c r="T31" s="73">
        <f t="shared" si="1"/>
        <v>115.36564133016576</v>
      </c>
    </row>
    <row r="32" spans="1:20" ht="15.75" customHeight="1">
      <c r="A32" s="71">
        <v>43312</v>
      </c>
      <c r="B32" s="70" t="s">
        <v>158</v>
      </c>
      <c r="C32" s="70" t="s">
        <v>155</v>
      </c>
      <c r="D32" s="72">
        <v>2.3865999999999998E-2</v>
      </c>
      <c r="E32" s="72">
        <v>1.6399E-2</v>
      </c>
      <c r="M32" s="73">
        <v>100</v>
      </c>
      <c r="N32" s="73">
        <f t="shared" ref="N32:N67" si="4">M32*(1+$D32)</f>
        <v>102.38659999999999</v>
      </c>
      <c r="P32" s="73">
        <f t="shared" si="2"/>
        <v>125.5422398665069</v>
      </c>
      <c r="Q32" s="73">
        <f t="shared" si="0"/>
        <v>128.53843096316095</v>
      </c>
      <c r="S32" s="73">
        <f t="shared" si="3"/>
        <v>115.36564133016576</v>
      </c>
      <c r="T32" s="73">
        <f t="shared" si="1"/>
        <v>117.25752248233916</v>
      </c>
    </row>
    <row r="33" spans="1:20" ht="15.75" customHeight="1">
      <c r="A33" s="71">
        <v>43343</v>
      </c>
      <c r="B33" s="70" t="s">
        <v>158</v>
      </c>
      <c r="C33" s="70" t="s">
        <v>155</v>
      </c>
      <c r="D33" s="72">
        <v>3.7157000000000003E-2</v>
      </c>
      <c r="E33" s="72">
        <v>7.6470000000000002E-3</v>
      </c>
      <c r="M33" s="73">
        <f t="shared" ref="M33:M67" si="5">N32</f>
        <v>102.38659999999999</v>
      </c>
      <c r="N33" s="73">
        <f t="shared" si="4"/>
        <v>106.19097889619999</v>
      </c>
      <c r="P33" s="73">
        <f t="shared" si="2"/>
        <v>128.53843096316095</v>
      </c>
      <c r="Q33" s="73">
        <f t="shared" si="0"/>
        <v>133.31453344245912</v>
      </c>
      <c r="S33" s="73">
        <f t="shared" si="3"/>
        <v>117.25752248233916</v>
      </c>
      <c r="T33" s="73">
        <f t="shared" si="1"/>
        <v>118.15419075676159</v>
      </c>
    </row>
    <row r="34" spans="1:20" ht="15.75" customHeight="1">
      <c r="A34" s="71">
        <v>43371</v>
      </c>
      <c r="B34" s="70" t="s">
        <v>158</v>
      </c>
      <c r="C34" s="70" t="s">
        <v>155</v>
      </c>
      <c r="D34" s="72">
        <v>7.6999999999999996E-4</v>
      </c>
      <c r="E34" s="72">
        <v>-1.34E-3</v>
      </c>
      <c r="M34" s="73">
        <f t="shared" si="5"/>
        <v>106.19097889619999</v>
      </c>
      <c r="N34" s="73">
        <f t="shared" si="4"/>
        <v>106.27274594995006</v>
      </c>
      <c r="P34" s="73">
        <f t="shared" si="2"/>
        <v>133.31453344245912</v>
      </c>
      <c r="Q34" s="73">
        <f t="shared" si="0"/>
        <v>133.41718563320981</v>
      </c>
      <c r="S34" s="73">
        <f t="shared" si="3"/>
        <v>118.15419075676159</v>
      </c>
      <c r="T34" s="73">
        <f t="shared" si="1"/>
        <v>117.99586414114754</v>
      </c>
    </row>
    <row r="35" spans="1:20" ht="15.75" customHeight="1">
      <c r="A35" s="71">
        <v>43404</v>
      </c>
      <c r="B35" s="70" t="s">
        <v>158</v>
      </c>
      <c r="C35" s="70" t="s">
        <v>155</v>
      </c>
      <c r="D35" s="72">
        <v>-5.9549999999999999E-2</v>
      </c>
      <c r="E35" s="72">
        <v>-4.7840000000000001E-2</v>
      </c>
      <c r="M35" s="73">
        <f t="shared" si="5"/>
        <v>106.27274594995006</v>
      </c>
      <c r="N35" s="73">
        <f t="shared" si="4"/>
        <v>99.944203928630543</v>
      </c>
      <c r="P35" s="73">
        <f t="shared" si="2"/>
        <v>133.41718563320981</v>
      </c>
      <c r="Q35" s="73">
        <f t="shared" si="0"/>
        <v>125.47219222875216</v>
      </c>
      <c r="S35" s="73">
        <f t="shared" si="3"/>
        <v>117.99586414114754</v>
      </c>
      <c r="T35" s="73">
        <f t="shared" si="1"/>
        <v>112.35094200063504</v>
      </c>
    </row>
    <row r="36" spans="1:20" ht="15.75" customHeight="1">
      <c r="A36" s="71">
        <v>43434</v>
      </c>
      <c r="B36" s="70" t="s">
        <v>163</v>
      </c>
      <c r="C36" s="70" t="s">
        <v>155</v>
      </c>
      <c r="D36" s="72">
        <v>-7.1000000000000002E-4</v>
      </c>
      <c r="E36" s="72">
        <v>1.285E-2</v>
      </c>
      <c r="M36" s="73">
        <f t="shared" si="5"/>
        <v>99.944203928630543</v>
      </c>
      <c r="N36" s="73">
        <f t="shared" si="4"/>
        <v>99.873243543841212</v>
      </c>
      <c r="P36" s="73">
        <f t="shared" si="2"/>
        <v>125.47219222875216</v>
      </c>
      <c r="Q36" s="73">
        <f t="shared" si="0"/>
        <v>125.38310697226976</v>
      </c>
      <c r="S36" s="73">
        <f t="shared" si="3"/>
        <v>112.35094200063504</v>
      </c>
      <c r="T36" s="73">
        <f t="shared" si="1"/>
        <v>113.7946516053432</v>
      </c>
    </row>
    <row r="37" spans="1:20" ht="15">
      <c r="A37" s="71">
        <v>43465</v>
      </c>
      <c r="B37" s="70" t="s">
        <v>163</v>
      </c>
      <c r="C37" s="70" t="s">
        <v>155</v>
      </c>
      <c r="D37" s="72">
        <v>-4.7400000000000003E-3</v>
      </c>
      <c r="E37" s="72">
        <v>-3.2329999999999998E-2</v>
      </c>
      <c r="M37" s="73">
        <f t="shared" si="5"/>
        <v>99.873243543841212</v>
      </c>
      <c r="N37" s="73">
        <f t="shared" si="4"/>
        <v>99.399844369443414</v>
      </c>
      <c r="P37" s="73">
        <f t="shared" si="2"/>
        <v>125.38310697226976</v>
      </c>
      <c r="Q37" s="73">
        <f t="shared" si="0"/>
        <v>124.7887910452212</v>
      </c>
      <c r="S37" s="73">
        <f t="shared" si="3"/>
        <v>113.7946516053432</v>
      </c>
      <c r="T37" s="73">
        <f t="shared" si="1"/>
        <v>110.11567051894247</v>
      </c>
    </row>
    <row r="38" spans="1:20" ht="15">
      <c r="A38" s="71">
        <v>43496</v>
      </c>
      <c r="B38" s="70" t="s">
        <v>160</v>
      </c>
      <c r="C38" s="70" t="s">
        <v>153</v>
      </c>
      <c r="D38" s="72">
        <v>3.0209999999999998E-3</v>
      </c>
      <c r="E38" s="72">
        <v>4.8135999999999998E-2</v>
      </c>
      <c r="M38" s="73">
        <f t="shared" si="5"/>
        <v>99.399844369443414</v>
      </c>
      <c r="N38" s="73">
        <f t="shared" si="4"/>
        <v>99.700131299283498</v>
      </c>
      <c r="P38" s="73">
        <f t="shared" si="2"/>
        <v>124.7887910452212</v>
      </c>
      <c r="Q38" s="73">
        <f t="shared" si="0"/>
        <v>125.16577798296881</v>
      </c>
      <c r="S38" s="73">
        <f t="shared" si="3"/>
        <v>110.11567051894247</v>
      </c>
      <c r="T38" s="73">
        <f t="shared" si="1"/>
        <v>115.41619843504228</v>
      </c>
    </row>
    <row r="39" spans="1:20" ht="15">
      <c r="A39" s="71">
        <v>43524</v>
      </c>
      <c r="B39" s="70" t="s">
        <v>157</v>
      </c>
      <c r="C39" s="70" t="s">
        <v>153</v>
      </c>
      <c r="D39" s="72">
        <v>1.2446E-2</v>
      </c>
      <c r="E39" s="72">
        <v>1.6188999999999999E-2</v>
      </c>
      <c r="M39" s="73">
        <f t="shared" si="5"/>
        <v>99.700131299283498</v>
      </c>
      <c r="N39" s="73">
        <f t="shared" si="4"/>
        <v>100.94099913343437</v>
      </c>
      <c r="P39" s="73">
        <f t="shared" si="2"/>
        <v>125.16577798296881</v>
      </c>
      <c r="Q39" s="73">
        <f t="shared" si="0"/>
        <v>126.72359125574484</v>
      </c>
      <c r="S39" s="73">
        <f t="shared" si="3"/>
        <v>115.41619843504228</v>
      </c>
      <c r="T39" s="73">
        <f t="shared" si="1"/>
        <v>117.28467127150718</v>
      </c>
    </row>
    <row r="40" spans="1:20" ht="15">
      <c r="A40" s="71">
        <v>43553</v>
      </c>
      <c r="B40" s="70" t="s">
        <v>157</v>
      </c>
      <c r="C40" s="70" t="s">
        <v>153</v>
      </c>
      <c r="D40" s="72">
        <v>4.5918E-2</v>
      </c>
      <c r="E40" s="72">
        <v>1.7711999999999999E-2</v>
      </c>
      <c r="M40" s="73">
        <f t="shared" si="5"/>
        <v>100.94099913343437</v>
      </c>
      <c r="N40" s="73">
        <f t="shared" si="4"/>
        <v>105.5760079316434</v>
      </c>
      <c r="P40" s="73">
        <f t="shared" si="2"/>
        <v>126.72359125574484</v>
      </c>
      <c r="Q40" s="73">
        <f t="shared" si="0"/>
        <v>132.54248511902611</v>
      </c>
      <c r="S40" s="73">
        <f t="shared" si="3"/>
        <v>117.28467127150718</v>
      </c>
      <c r="T40" s="73">
        <f t="shared" si="1"/>
        <v>119.36201736906811</v>
      </c>
    </row>
    <row r="41" spans="1:20" ht="15">
      <c r="A41" s="71">
        <v>43585</v>
      </c>
      <c r="B41" s="70" t="s">
        <v>158</v>
      </c>
      <c r="C41" s="70" t="s">
        <v>155</v>
      </c>
      <c r="D41" s="72">
        <v>3.8231000000000001E-2</v>
      </c>
      <c r="E41" s="72">
        <v>1.8495000000000001E-2</v>
      </c>
      <c r="M41" s="73">
        <f t="shared" si="5"/>
        <v>105.5760079316434</v>
      </c>
      <c r="N41" s="73">
        <f t="shared" si="4"/>
        <v>109.61228429087805</v>
      </c>
      <c r="P41" s="73">
        <f t="shared" si="2"/>
        <v>132.54248511902611</v>
      </c>
      <c r="Q41" s="73">
        <f t="shared" si="0"/>
        <v>137.60971686761158</v>
      </c>
      <c r="S41" s="73">
        <f t="shared" si="3"/>
        <v>119.36201736906811</v>
      </c>
      <c r="T41" s="73">
        <f t="shared" si="1"/>
        <v>121.56961788030902</v>
      </c>
    </row>
    <row r="42" spans="1:20" ht="15">
      <c r="A42" s="74">
        <v>43616</v>
      </c>
      <c r="B42" s="70" t="s">
        <v>158</v>
      </c>
      <c r="C42" s="70" t="s">
        <v>155</v>
      </c>
      <c r="D42" s="72">
        <v>-5.7279999999999998E-2</v>
      </c>
      <c r="E42" s="72">
        <v>-2.2259999999999999E-2</v>
      </c>
      <c r="M42" s="73">
        <f t="shared" si="5"/>
        <v>109.61228429087805</v>
      </c>
      <c r="N42" s="73">
        <f t="shared" si="4"/>
        <v>103.33369264669656</v>
      </c>
      <c r="P42" s="73">
        <f t="shared" si="2"/>
        <v>137.60971686761158</v>
      </c>
      <c r="Q42" s="73">
        <f t="shared" si="0"/>
        <v>129.72743228543479</v>
      </c>
      <c r="S42" s="73">
        <f t="shared" si="3"/>
        <v>121.56961788030902</v>
      </c>
      <c r="T42" s="73">
        <f t="shared" si="1"/>
        <v>118.86347818629335</v>
      </c>
    </row>
    <row r="43" spans="1:20" ht="15">
      <c r="A43" s="71">
        <v>43644</v>
      </c>
      <c r="B43" s="70" t="s">
        <v>160</v>
      </c>
      <c r="C43" s="70" t="s">
        <v>153</v>
      </c>
      <c r="D43" s="72">
        <v>6.5550000000000001E-3</v>
      </c>
      <c r="E43" s="72">
        <v>4.3827999999999999E-2</v>
      </c>
      <c r="M43" s="73">
        <f t="shared" si="5"/>
        <v>103.33369264669656</v>
      </c>
      <c r="N43" s="73">
        <f t="shared" si="4"/>
        <v>104.01104500199567</v>
      </c>
      <c r="P43" s="73">
        <f t="shared" si="2"/>
        <v>129.72743228543479</v>
      </c>
      <c r="Q43" s="73">
        <f t="shared" si="0"/>
        <v>130.57779560406581</v>
      </c>
      <c r="S43" s="73">
        <f t="shared" si="3"/>
        <v>118.86347818629335</v>
      </c>
      <c r="T43" s="73">
        <f t="shared" si="1"/>
        <v>124.07302670824221</v>
      </c>
    </row>
    <row r="44" spans="1:20" ht="15">
      <c r="A44" s="71">
        <v>43677</v>
      </c>
      <c r="B44" s="70" t="s">
        <v>164</v>
      </c>
      <c r="C44" s="70" t="s">
        <v>153</v>
      </c>
      <c r="D44" s="72">
        <v>1.01E-2</v>
      </c>
      <c r="E44" s="72">
        <v>-1.4499999999999999E-3</v>
      </c>
      <c r="M44" s="73">
        <f t="shared" si="5"/>
        <v>104.01104500199567</v>
      </c>
      <c r="N44" s="73">
        <f t="shared" si="4"/>
        <v>105.06155655651582</v>
      </c>
      <c r="P44" s="73">
        <f t="shared" si="2"/>
        <v>130.57779560406581</v>
      </c>
      <c r="Q44" s="73">
        <f t="shared" si="0"/>
        <v>131.89663133966687</v>
      </c>
      <c r="S44" s="73">
        <f t="shared" si="3"/>
        <v>124.07302670824221</v>
      </c>
      <c r="T44" s="73">
        <f t="shared" si="1"/>
        <v>123.89312081951526</v>
      </c>
    </row>
    <row r="45" spans="1:20" ht="15">
      <c r="A45" s="71">
        <v>43707</v>
      </c>
      <c r="B45" s="70" t="s">
        <v>164</v>
      </c>
      <c r="C45" s="70" t="s">
        <v>153</v>
      </c>
      <c r="D45" s="72">
        <v>3.4132999999999997E-2</v>
      </c>
      <c r="E45" s="72">
        <v>3.7759999999999998E-3</v>
      </c>
      <c r="M45" s="73">
        <f t="shared" si="5"/>
        <v>105.06155655651582</v>
      </c>
      <c r="N45" s="73">
        <f t="shared" si="4"/>
        <v>108.64762266645937</v>
      </c>
      <c r="P45" s="73">
        <f t="shared" si="2"/>
        <v>131.89663133966687</v>
      </c>
      <c r="Q45" s="73">
        <f t="shared" si="0"/>
        <v>136.39865905718372</v>
      </c>
      <c r="S45" s="73">
        <f t="shared" si="3"/>
        <v>123.89312081951526</v>
      </c>
      <c r="T45" s="73">
        <f t="shared" si="1"/>
        <v>124.36094124372976</v>
      </c>
    </row>
    <row r="46" spans="1:20" ht="15">
      <c r="A46" s="71">
        <v>43738</v>
      </c>
      <c r="B46" s="70" t="s">
        <v>157</v>
      </c>
      <c r="C46" s="70" t="s">
        <v>153</v>
      </c>
      <c r="D46" s="72">
        <v>-5.2100000000000002E-3</v>
      </c>
      <c r="E46" s="72">
        <v>1.0088E-2</v>
      </c>
      <c r="M46" s="73">
        <f t="shared" si="5"/>
        <v>108.64762266645937</v>
      </c>
      <c r="N46" s="73">
        <f t="shared" si="4"/>
        <v>108.08156855236712</v>
      </c>
      <c r="P46" s="73">
        <f t="shared" si="2"/>
        <v>136.39865905718372</v>
      </c>
      <c r="Q46" s="73">
        <f t="shared" si="0"/>
        <v>135.68802204349578</v>
      </c>
      <c r="S46" s="73">
        <f t="shared" si="3"/>
        <v>124.36094124372976</v>
      </c>
      <c r="T46" s="73">
        <f t="shared" si="1"/>
        <v>125.61549441899652</v>
      </c>
    </row>
    <row r="47" spans="1:20" ht="15">
      <c r="A47" s="71">
        <v>43769</v>
      </c>
      <c r="B47" s="70" t="s">
        <v>164</v>
      </c>
      <c r="C47" s="70" t="s">
        <v>153</v>
      </c>
      <c r="D47" s="72">
        <v>8.8079999999999999E-3</v>
      </c>
      <c r="E47" s="72">
        <v>1.7233999999999999E-2</v>
      </c>
      <c r="M47" s="73">
        <f t="shared" si="5"/>
        <v>108.08156855236712</v>
      </c>
      <c r="N47" s="73">
        <f t="shared" si="4"/>
        <v>109.03355100817636</v>
      </c>
      <c r="P47" s="73">
        <f t="shared" si="2"/>
        <v>135.68802204349578</v>
      </c>
      <c r="Q47" s="73">
        <f t="shared" si="0"/>
        <v>136.88316214165488</v>
      </c>
      <c r="S47" s="73">
        <f t="shared" si="3"/>
        <v>125.61549441899652</v>
      </c>
      <c r="T47" s="73">
        <f t="shared" si="1"/>
        <v>127.7803518498135</v>
      </c>
    </row>
    <row r="48" spans="1:20" ht="15">
      <c r="A48" s="71">
        <v>43798</v>
      </c>
      <c r="B48" s="70" t="s">
        <v>157</v>
      </c>
      <c r="C48" s="70" t="s">
        <v>153</v>
      </c>
      <c r="D48" s="72">
        <v>2.2789E-2</v>
      </c>
      <c r="E48" s="72">
        <v>1.1998E-2</v>
      </c>
      <c r="M48" s="73">
        <f t="shared" si="5"/>
        <v>109.03355100817636</v>
      </c>
      <c r="N48" s="73">
        <f t="shared" si="4"/>
        <v>111.51831660210169</v>
      </c>
      <c r="P48" s="73">
        <f t="shared" si="2"/>
        <v>136.88316214165488</v>
      </c>
      <c r="Q48" s="73">
        <f t="shared" si="0"/>
        <v>140.00259252370105</v>
      </c>
      <c r="S48" s="73">
        <f t="shared" si="3"/>
        <v>127.7803518498135</v>
      </c>
      <c r="T48" s="73">
        <f t="shared" si="1"/>
        <v>129.31346051130757</v>
      </c>
    </row>
    <row r="49" spans="1:20" ht="15">
      <c r="A49" s="71">
        <v>43830</v>
      </c>
      <c r="B49" s="70" t="s">
        <v>158</v>
      </c>
      <c r="C49" s="70" t="s">
        <v>155</v>
      </c>
      <c r="D49" s="72">
        <v>3.1343000000000003E-2</v>
      </c>
      <c r="E49" s="72">
        <v>1.3651999999999999E-2</v>
      </c>
      <c r="M49" s="73">
        <f t="shared" si="5"/>
        <v>111.51831660210169</v>
      </c>
      <c r="N49" s="73">
        <f t="shared" si="4"/>
        <v>115.01363519936136</v>
      </c>
      <c r="P49" s="73">
        <f t="shared" si="2"/>
        <v>140.00259252370105</v>
      </c>
      <c r="Q49" s="73">
        <f t="shared" si="0"/>
        <v>144.39069378117139</v>
      </c>
      <c r="S49" s="73">
        <f t="shared" si="3"/>
        <v>129.31346051130757</v>
      </c>
      <c r="T49" s="73">
        <f t="shared" si="1"/>
        <v>131.07884787420795</v>
      </c>
    </row>
    <row r="50" spans="1:20" ht="15">
      <c r="A50" s="71">
        <v>43861</v>
      </c>
      <c r="B50" s="70" t="s">
        <v>158</v>
      </c>
      <c r="C50" s="70" t="s">
        <v>155</v>
      </c>
      <c r="D50" s="72">
        <v>1.6404999999999999E-2</v>
      </c>
      <c r="E50" s="72">
        <v>5.2119999999999996E-3</v>
      </c>
      <c r="M50" s="73">
        <f t="shared" si="5"/>
        <v>115.01363519936136</v>
      </c>
      <c r="N50" s="73">
        <f t="shared" si="4"/>
        <v>116.90043388480689</v>
      </c>
      <c r="P50" s="73">
        <f t="shared" si="2"/>
        <v>144.39069378117139</v>
      </c>
      <c r="Q50" s="73">
        <f t="shared" si="0"/>
        <v>146.75942311265152</v>
      </c>
      <c r="S50" s="73">
        <f t="shared" si="3"/>
        <v>131.07884787420795</v>
      </c>
      <c r="T50" s="73">
        <f t="shared" si="1"/>
        <v>131.76203082932832</v>
      </c>
    </row>
    <row r="51" spans="1:20" ht="15">
      <c r="A51" s="71">
        <v>43889</v>
      </c>
      <c r="B51" s="70" t="s">
        <v>157</v>
      </c>
      <c r="C51" s="70" t="s">
        <v>153</v>
      </c>
      <c r="D51" s="72">
        <v>-9.8399999999999998E-3</v>
      </c>
      <c r="E51" s="72">
        <v>-3.5439999999999999E-2</v>
      </c>
      <c r="M51" s="73">
        <f t="shared" si="5"/>
        <v>116.90043388480689</v>
      </c>
      <c r="N51" s="73">
        <f t="shared" si="4"/>
        <v>115.75013361538039</v>
      </c>
      <c r="P51" s="73">
        <f t="shared" si="2"/>
        <v>146.75942311265152</v>
      </c>
      <c r="Q51" s="73">
        <f t="shared" si="0"/>
        <v>145.31531038922304</v>
      </c>
      <c r="S51" s="73">
        <f t="shared" si="3"/>
        <v>131.76203082932832</v>
      </c>
      <c r="T51" s="73">
        <f t="shared" si="1"/>
        <v>127.09238445673692</v>
      </c>
    </row>
    <row r="52" spans="1:20" ht="15">
      <c r="A52" s="71">
        <v>43921</v>
      </c>
      <c r="B52" s="70" t="s">
        <v>160</v>
      </c>
      <c r="C52" s="70" t="s">
        <v>153</v>
      </c>
      <c r="D52" s="72">
        <v>3.2976999999999999E-2</v>
      </c>
      <c r="E52" s="72">
        <v>-6.9159999999999999E-2</v>
      </c>
      <c r="M52" s="73">
        <f t="shared" si="5"/>
        <v>115.75013361538039</v>
      </c>
      <c r="N52" s="73">
        <f t="shared" si="4"/>
        <v>119.5672257716148</v>
      </c>
      <c r="P52" s="73">
        <f t="shared" si="2"/>
        <v>145.31531038922304</v>
      </c>
      <c r="Q52" s="73">
        <f t="shared" si="0"/>
        <v>150.10737337992845</v>
      </c>
      <c r="S52" s="73">
        <f t="shared" si="3"/>
        <v>127.09238445673692</v>
      </c>
      <c r="T52" s="73">
        <f t="shared" si="1"/>
        <v>118.302675147709</v>
      </c>
    </row>
    <row r="53" spans="1:20" ht="15">
      <c r="A53" s="71">
        <v>43951</v>
      </c>
      <c r="B53" s="70" t="s">
        <v>160</v>
      </c>
      <c r="C53" s="70" t="s">
        <v>153</v>
      </c>
      <c r="D53" s="72">
        <v>6.5030000000000001E-3</v>
      </c>
      <c r="E53" s="72">
        <v>5.7951000000000003E-2</v>
      </c>
      <c r="M53" s="73">
        <f t="shared" si="5"/>
        <v>119.5672257716148</v>
      </c>
      <c r="N53" s="73">
        <f t="shared" si="4"/>
        <v>120.34477144080761</v>
      </c>
      <c r="P53" s="73">
        <f t="shared" si="2"/>
        <v>150.10737337992845</v>
      </c>
      <c r="Q53" s="73">
        <f t="shared" si="0"/>
        <v>151.08352162901812</v>
      </c>
      <c r="S53" s="73">
        <f t="shared" si="3"/>
        <v>118.302675147709</v>
      </c>
      <c r="T53" s="73">
        <f t="shared" si="1"/>
        <v>125.15843347519389</v>
      </c>
    </row>
    <row r="54" spans="1:20" ht="15">
      <c r="A54" s="74">
        <v>43980</v>
      </c>
      <c r="B54" s="70" t="s">
        <v>160</v>
      </c>
      <c r="C54" s="70" t="s">
        <v>153</v>
      </c>
      <c r="D54" s="72">
        <v>-7.5199999999999998E-3</v>
      </c>
      <c r="E54" s="72">
        <v>3.3779000000000003E-2</v>
      </c>
      <c r="M54" s="73">
        <f t="shared" si="5"/>
        <v>120.34477144080761</v>
      </c>
      <c r="N54" s="73">
        <f t="shared" si="4"/>
        <v>119.43977875957273</v>
      </c>
      <c r="P54" s="73">
        <f t="shared" si="2"/>
        <v>151.08352162901812</v>
      </c>
      <c r="Q54" s="73">
        <f t="shared" si="0"/>
        <v>149.94737354636791</v>
      </c>
      <c r="S54" s="73">
        <f t="shared" si="3"/>
        <v>125.15843347519389</v>
      </c>
      <c r="T54" s="73">
        <f t="shared" si="1"/>
        <v>129.38616019955245</v>
      </c>
    </row>
    <row r="55" spans="1:20" ht="15">
      <c r="A55" s="71">
        <v>44012</v>
      </c>
      <c r="B55" s="70" t="s">
        <v>157</v>
      </c>
      <c r="C55" s="70" t="s">
        <v>153</v>
      </c>
      <c r="D55" s="72">
        <v>3.9058000000000002E-2</v>
      </c>
      <c r="E55" s="72">
        <v>1.7564E-2</v>
      </c>
      <c r="J55" s="73">
        <v>100</v>
      </c>
      <c r="K55" s="73">
        <f t="shared" ref="K55:K67" si="6">J55*(1+D55)</f>
        <v>103.9058</v>
      </c>
      <c r="M55" s="73">
        <f t="shared" si="5"/>
        <v>119.43977875957273</v>
      </c>
      <c r="N55" s="73">
        <f t="shared" si="4"/>
        <v>124.10485763836412</v>
      </c>
      <c r="P55" s="73">
        <f t="shared" si="2"/>
        <v>149.94737354636791</v>
      </c>
      <c r="Q55" s="73">
        <f t="shared" si="0"/>
        <v>155.80401806234195</v>
      </c>
      <c r="S55" s="73">
        <f t="shared" si="3"/>
        <v>129.38616019955245</v>
      </c>
      <c r="T55" s="73">
        <f t="shared" si="1"/>
        <v>131.65869871729737</v>
      </c>
    </row>
    <row r="56" spans="1:20" ht="15">
      <c r="A56" s="71">
        <v>44043</v>
      </c>
      <c r="B56" s="70" t="s">
        <v>158</v>
      </c>
      <c r="C56" s="70" t="s">
        <v>155</v>
      </c>
      <c r="D56" s="72">
        <v>6.5683000000000005E-2</v>
      </c>
      <c r="E56" s="72">
        <v>2.6463E-2</v>
      </c>
      <c r="J56" s="73">
        <f t="shared" ref="J56:J67" si="7">K55</f>
        <v>103.9058</v>
      </c>
      <c r="K56" s="73">
        <f t="shared" si="6"/>
        <v>110.73064466139999</v>
      </c>
      <c r="M56" s="73">
        <f t="shared" si="5"/>
        <v>124.10485763836412</v>
      </c>
      <c r="N56" s="73">
        <f t="shared" si="4"/>
        <v>132.25643700262478</v>
      </c>
      <c r="P56" s="73">
        <f t="shared" si="2"/>
        <v>155.80401806234195</v>
      </c>
      <c r="Q56" s="73">
        <f t="shared" si="0"/>
        <v>166.03769338073076</v>
      </c>
      <c r="S56" s="73">
        <f t="shared" si="3"/>
        <v>131.65869871729737</v>
      </c>
      <c r="T56" s="73">
        <f t="shared" si="1"/>
        <v>135.14278286145318</v>
      </c>
    </row>
    <row r="57" spans="1:20" ht="15">
      <c r="A57" s="71">
        <v>44074</v>
      </c>
      <c r="B57" s="70" t="s">
        <v>158</v>
      </c>
      <c r="C57" s="70" t="s">
        <v>155</v>
      </c>
      <c r="D57" s="72">
        <v>6.6103999999999996E-2</v>
      </c>
      <c r="E57" s="72">
        <v>3.1600999999999997E-2</v>
      </c>
      <c r="J57" s="73">
        <f t="shared" si="7"/>
        <v>110.73064466139999</v>
      </c>
      <c r="K57" s="73">
        <f t="shared" si="6"/>
        <v>118.05038319609717</v>
      </c>
      <c r="M57" s="73">
        <f t="shared" si="5"/>
        <v>132.25643700262478</v>
      </c>
      <c r="N57" s="73">
        <f t="shared" si="4"/>
        <v>140.99911651424628</v>
      </c>
      <c r="P57" s="73">
        <f t="shared" si="2"/>
        <v>166.03769338073076</v>
      </c>
      <c r="Q57" s="73">
        <f t="shared" si="0"/>
        <v>177.01344906397057</v>
      </c>
      <c r="S57" s="73">
        <f t="shared" si="3"/>
        <v>135.14278286145318</v>
      </c>
      <c r="T57" s="73">
        <f t="shared" si="1"/>
        <v>139.41342994265796</v>
      </c>
    </row>
    <row r="58" spans="1:20" ht="15">
      <c r="A58" s="71">
        <v>44104</v>
      </c>
      <c r="B58" s="70" t="s">
        <v>158</v>
      </c>
      <c r="C58" s="70" t="s">
        <v>155</v>
      </c>
      <c r="D58" s="72">
        <v>-3.7850000000000002E-2</v>
      </c>
      <c r="E58" s="72">
        <v>-1.546E-2</v>
      </c>
      <c r="J58" s="73">
        <f t="shared" si="7"/>
        <v>118.05038319609717</v>
      </c>
      <c r="K58" s="73">
        <f t="shared" si="6"/>
        <v>113.58217619212489</v>
      </c>
      <c r="M58" s="73">
        <f t="shared" si="5"/>
        <v>140.99911651424628</v>
      </c>
      <c r="N58" s="73">
        <f t="shared" si="4"/>
        <v>135.66229995418206</v>
      </c>
      <c r="P58" s="73">
        <f t="shared" si="2"/>
        <v>177.01344906397057</v>
      </c>
      <c r="Q58" s="73">
        <f t="shared" si="0"/>
        <v>170.31349001689927</v>
      </c>
      <c r="S58" s="73">
        <f t="shared" si="3"/>
        <v>139.41342994265796</v>
      </c>
      <c r="T58" s="73">
        <f t="shared" si="1"/>
        <v>137.25809831574446</v>
      </c>
    </row>
    <row r="59" spans="1:20" ht="15">
      <c r="A59" s="71">
        <v>44134</v>
      </c>
      <c r="B59" s="70" t="s">
        <v>158</v>
      </c>
      <c r="C59" s="70" t="s">
        <v>155</v>
      </c>
      <c r="D59" s="72">
        <v>-1.6410000000000001E-2</v>
      </c>
      <c r="E59" s="72">
        <v>-2.2020000000000001E-2</v>
      </c>
      <c r="J59" s="73">
        <f t="shared" si="7"/>
        <v>113.58217619212489</v>
      </c>
      <c r="K59" s="73">
        <f t="shared" si="6"/>
        <v>111.71829268081211</v>
      </c>
      <c r="M59" s="73">
        <f t="shared" si="5"/>
        <v>135.66229995418206</v>
      </c>
      <c r="N59" s="73">
        <f t="shared" si="4"/>
        <v>133.43608161193393</v>
      </c>
      <c r="P59" s="73">
        <f t="shared" si="2"/>
        <v>170.31349001689927</v>
      </c>
      <c r="Q59" s="73">
        <f t="shared" si="0"/>
        <v>167.51864564572193</v>
      </c>
      <c r="S59" s="73">
        <f t="shared" si="3"/>
        <v>137.25809831574446</v>
      </c>
      <c r="T59" s="73">
        <f t="shared" si="1"/>
        <v>134.23567499083177</v>
      </c>
    </row>
    <row r="60" spans="1:20" ht="15">
      <c r="A60" s="71">
        <v>44165</v>
      </c>
      <c r="B60" s="70" t="s">
        <v>152</v>
      </c>
      <c r="C60" s="70" t="s">
        <v>153</v>
      </c>
      <c r="D60" s="72">
        <v>0.123616</v>
      </c>
      <c r="E60" s="72">
        <v>7.9570000000000002E-2</v>
      </c>
      <c r="J60" s="73">
        <f t="shared" si="7"/>
        <v>111.71829268081211</v>
      </c>
      <c r="K60" s="73">
        <f t="shared" si="6"/>
        <v>125.52846114884338</v>
      </c>
      <c r="M60" s="73">
        <f t="shared" si="5"/>
        <v>133.43608161193393</v>
      </c>
      <c r="N60" s="73">
        <f t="shared" si="4"/>
        <v>149.93091627647473</v>
      </c>
      <c r="P60" s="73">
        <f t="shared" si="2"/>
        <v>167.51864564572193</v>
      </c>
      <c r="Q60" s="73">
        <f t="shared" si="0"/>
        <v>188.22663054586349</v>
      </c>
      <c r="S60" s="73">
        <f t="shared" si="3"/>
        <v>134.23567499083177</v>
      </c>
      <c r="T60" s="73">
        <f t="shared" si="1"/>
        <v>144.91680764985225</v>
      </c>
    </row>
    <row r="61" spans="1:20" ht="15">
      <c r="A61" s="71">
        <v>44196</v>
      </c>
      <c r="B61" s="70" t="s">
        <v>152</v>
      </c>
      <c r="C61" s="70" t="s">
        <v>153</v>
      </c>
      <c r="D61" s="72">
        <v>6.0384E-2</v>
      </c>
      <c r="E61" s="72">
        <v>2.8118000000000001E-2</v>
      </c>
      <c r="J61" s="73">
        <f t="shared" si="7"/>
        <v>125.52846114884338</v>
      </c>
      <c r="K61" s="73">
        <f t="shared" si="6"/>
        <v>133.10837174685514</v>
      </c>
      <c r="M61" s="73">
        <f t="shared" si="5"/>
        <v>149.93091627647473</v>
      </c>
      <c r="N61" s="73">
        <f t="shared" si="4"/>
        <v>158.98434472491337</v>
      </c>
      <c r="P61" s="73">
        <f t="shared" si="2"/>
        <v>188.22663054586349</v>
      </c>
      <c r="Q61" s="73">
        <f t="shared" si="0"/>
        <v>199.59250740474491</v>
      </c>
      <c r="S61" s="73">
        <f t="shared" si="3"/>
        <v>144.91680764985225</v>
      </c>
      <c r="T61" s="73">
        <f t="shared" si="1"/>
        <v>148.9915784473508</v>
      </c>
    </row>
    <row r="62" spans="1:20" ht="15">
      <c r="A62" s="71">
        <v>44225</v>
      </c>
      <c r="B62" s="70" t="s">
        <v>152</v>
      </c>
      <c r="C62" s="70" t="s">
        <v>153</v>
      </c>
      <c r="D62" s="72">
        <v>2.7089999999999999E-2</v>
      </c>
      <c r="E62" s="72">
        <v>-7.7099999999999998E-3</v>
      </c>
      <c r="F62" s="73">
        <v>100</v>
      </c>
      <c r="G62" s="73">
        <f t="shared" ref="G62:G67" si="8">F62*(1+D62)</f>
        <v>102.709</v>
      </c>
      <c r="J62" s="73">
        <f t="shared" si="7"/>
        <v>133.10837174685514</v>
      </c>
      <c r="K62" s="73">
        <f t="shared" si="6"/>
        <v>136.71427753747744</v>
      </c>
      <c r="M62" s="73">
        <f t="shared" si="5"/>
        <v>158.98434472491337</v>
      </c>
      <c r="N62" s="73">
        <f t="shared" si="4"/>
        <v>163.2912306235113</v>
      </c>
      <c r="P62" s="73">
        <f t="shared" si="2"/>
        <v>199.59250740474491</v>
      </c>
      <c r="Q62" s="73">
        <f t="shared" si="0"/>
        <v>204.99946843033945</v>
      </c>
      <c r="S62" s="73">
        <f t="shared" si="3"/>
        <v>148.9915784473508</v>
      </c>
      <c r="T62" s="73">
        <f t="shared" si="1"/>
        <v>147.84285337752172</v>
      </c>
    </row>
    <row r="63" spans="1:20" ht="15">
      <c r="A63" s="71">
        <v>44253</v>
      </c>
      <c r="B63" s="70" t="s">
        <v>152</v>
      </c>
      <c r="C63" s="70" t="s">
        <v>153</v>
      </c>
      <c r="D63" s="72">
        <v>3.7817000000000003E-2</v>
      </c>
      <c r="E63" s="72">
        <v>6.6769999999999998E-3</v>
      </c>
      <c r="F63" s="73">
        <f t="shared" ref="F63:F67" si="9">G62</f>
        <v>102.709</v>
      </c>
      <c r="G63" s="73">
        <f t="shared" si="8"/>
        <v>106.593146253</v>
      </c>
      <c r="J63" s="73">
        <f t="shared" si="7"/>
        <v>136.71427753747744</v>
      </c>
      <c r="K63" s="73">
        <f t="shared" si="6"/>
        <v>141.88440137111223</v>
      </c>
      <c r="M63" s="73">
        <f t="shared" si="5"/>
        <v>163.2912306235113</v>
      </c>
      <c r="N63" s="73">
        <f t="shared" si="4"/>
        <v>169.46641509200063</v>
      </c>
      <c r="P63" s="73">
        <f t="shared" si="2"/>
        <v>204.99946843033945</v>
      </c>
      <c r="Q63" s="73">
        <f t="shared" si="0"/>
        <v>212.7519333279696</v>
      </c>
      <c r="S63" s="73">
        <f t="shared" si="3"/>
        <v>147.84285337752172</v>
      </c>
      <c r="T63" s="73">
        <f t="shared" si="1"/>
        <v>148.83000010952344</v>
      </c>
    </row>
    <row r="64" spans="1:20" ht="15">
      <c r="A64" s="71">
        <v>44286</v>
      </c>
      <c r="B64" s="70" t="s">
        <v>152</v>
      </c>
      <c r="C64" s="70" t="s">
        <v>153</v>
      </c>
      <c r="D64" s="72">
        <v>1.2197E-2</v>
      </c>
      <c r="E64" s="72">
        <v>8.9320000000000007E-3</v>
      </c>
      <c r="F64" s="73">
        <f t="shared" si="9"/>
        <v>106.593146253</v>
      </c>
      <c r="G64" s="73">
        <f t="shared" si="8"/>
        <v>107.89326285784784</v>
      </c>
      <c r="J64" s="73">
        <f t="shared" si="7"/>
        <v>141.88440137111223</v>
      </c>
      <c r="K64" s="73">
        <f t="shared" si="6"/>
        <v>143.61496541463569</v>
      </c>
      <c r="M64" s="73">
        <f t="shared" si="5"/>
        <v>169.46641509200063</v>
      </c>
      <c r="N64" s="73">
        <f t="shared" si="4"/>
        <v>171.53339695687777</v>
      </c>
      <c r="P64" s="73">
        <f t="shared" si="2"/>
        <v>212.7519333279696</v>
      </c>
      <c r="Q64" s="73">
        <f t="shared" si="0"/>
        <v>215.34686865877083</v>
      </c>
      <c r="S64" s="73">
        <f t="shared" si="3"/>
        <v>148.83000010952344</v>
      </c>
      <c r="T64" s="73">
        <f t="shared" si="1"/>
        <v>150.15934967050168</v>
      </c>
    </row>
    <row r="65" spans="1:22" ht="15">
      <c r="A65" s="71">
        <v>44316</v>
      </c>
      <c r="B65" s="70" t="s">
        <v>154</v>
      </c>
      <c r="C65" s="70" t="s">
        <v>155</v>
      </c>
      <c r="D65" s="72">
        <v>2.8806999999999999E-2</v>
      </c>
      <c r="E65" s="72">
        <v>2.7969999999999998E-2</v>
      </c>
      <c r="F65" s="73">
        <f t="shared" si="9"/>
        <v>107.89326285784784</v>
      </c>
      <c r="G65" s="73">
        <f t="shared" si="8"/>
        <v>111.00134408099387</v>
      </c>
      <c r="J65" s="73">
        <f t="shared" si="7"/>
        <v>143.61496541463569</v>
      </c>
      <c r="K65" s="73">
        <f t="shared" si="6"/>
        <v>147.7520817233351</v>
      </c>
      <c r="M65" s="73">
        <f t="shared" si="5"/>
        <v>171.53339695687777</v>
      </c>
      <c r="N65" s="73">
        <f t="shared" si="4"/>
        <v>176.47475952301454</v>
      </c>
      <c r="P65" s="73">
        <f t="shared" si="2"/>
        <v>215.34686865877083</v>
      </c>
      <c r="Q65" s="73">
        <f t="shared" si="0"/>
        <v>221.55036590422404</v>
      </c>
      <c r="S65" s="73">
        <f t="shared" si="3"/>
        <v>150.15934967050168</v>
      </c>
      <c r="T65" s="73">
        <f t="shared" si="1"/>
        <v>154.35930668078564</v>
      </c>
    </row>
    <row r="66" spans="1:22" ht="15">
      <c r="A66" s="74">
        <v>44344</v>
      </c>
      <c r="B66" s="70" t="s">
        <v>154</v>
      </c>
      <c r="C66" s="70" t="s">
        <v>155</v>
      </c>
      <c r="D66" s="72">
        <v>1.7240000000000001E-3</v>
      </c>
      <c r="E66" s="72">
        <v>1.3516E-2</v>
      </c>
      <c r="F66" s="73">
        <f t="shared" si="9"/>
        <v>111.00134408099387</v>
      </c>
      <c r="G66" s="73">
        <f t="shared" si="8"/>
        <v>111.19271039818952</v>
      </c>
      <c r="J66" s="73">
        <f t="shared" si="7"/>
        <v>147.7520817233351</v>
      </c>
      <c r="K66" s="73">
        <f t="shared" si="6"/>
        <v>148.00680631222613</v>
      </c>
      <c r="M66" s="73">
        <f t="shared" si="5"/>
        <v>176.47475952301454</v>
      </c>
      <c r="N66" s="73">
        <f t="shared" si="4"/>
        <v>176.77900200843223</v>
      </c>
      <c r="P66" s="73">
        <f t="shared" si="2"/>
        <v>221.55036590422404</v>
      </c>
      <c r="Q66" s="73">
        <f t="shared" si="0"/>
        <v>221.93231873504294</v>
      </c>
      <c r="S66" s="73">
        <f t="shared" si="3"/>
        <v>154.35930668078564</v>
      </c>
      <c r="T66" s="73">
        <f t="shared" si="1"/>
        <v>156.44562706988316</v>
      </c>
    </row>
    <row r="67" spans="1:22" ht="15">
      <c r="A67" s="71">
        <v>44351</v>
      </c>
      <c r="B67" s="70" t="s">
        <v>156</v>
      </c>
      <c r="C67" s="70" t="s">
        <v>155</v>
      </c>
      <c r="D67" s="72">
        <v>5.3680000000000004E-3</v>
      </c>
      <c r="E67" s="72">
        <v>6.5129999999999997E-3</v>
      </c>
      <c r="F67" s="73">
        <f t="shared" si="9"/>
        <v>111.19271039818952</v>
      </c>
      <c r="G67" s="73">
        <f t="shared" si="8"/>
        <v>111.789592867607</v>
      </c>
      <c r="H67" s="109">
        <f>(G67-F62)/F62</f>
        <v>0.11789592867606999</v>
      </c>
      <c r="I67" s="110" t="s">
        <v>12</v>
      </c>
      <c r="J67" s="73">
        <f t="shared" si="7"/>
        <v>148.00680631222613</v>
      </c>
      <c r="K67" s="73">
        <f t="shared" si="6"/>
        <v>148.80130684851017</v>
      </c>
      <c r="L67" s="109">
        <f>(K67-J55)/J55</f>
        <v>0.48801306848510168</v>
      </c>
      <c r="M67" s="73">
        <f t="shared" si="5"/>
        <v>176.77900200843223</v>
      </c>
      <c r="N67" s="73">
        <f t="shared" si="4"/>
        <v>177.72795169121349</v>
      </c>
      <c r="O67" s="109">
        <f>(N67-M32)/M32</f>
        <v>0.77727951691213493</v>
      </c>
      <c r="P67" s="73">
        <f t="shared" si="2"/>
        <v>221.93231873504294</v>
      </c>
      <c r="Q67" s="73">
        <f t="shared" si="0"/>
        <v>223.12365142201267</v>
      </c>
      <c r="R67" s="109">
        <f>(Q67-P8)/P8</f>
        <v>1.2312365142201267</v>
      </c>
      <c r="S67" s="73">
        <f t="shared" si="3"/>
        <v>156.44562706988316</v>
      </c>
      <c r="T67" s="73">
        <f t="shared" si="1"/>
        <v>157.46455743898932</v>
      </c>
      <c r="U67" s="109">
        <f>(T67-S8)/S8</f>
        <v>0.57464557438989317</v>
      </c>
      <c r="V67" s="13" t="s">
        <v>165</v>
      </c>
    </row>
    <row r="68" spans="1:22" ht="15">
      <c r="D68" s="19"/>
      <c r="E68" s="19"/>
      <c r="F68" s="77"/>
      <c r="G68" s="77"/>
      <c r="U68" s="109">
        <f>(T67-S32)/S32</f>
        <v>0.36491728059951895</v>
      </c>
      <c r="V68" s="13" t="s">
        <v>166</v>
      </c>
    </row>
    <row r="69" spans="1:22" ht="15">
      <c r="D69" s="19"/>
      <c r="E69" s="19"/>
      <c r="F69" s="77"/>
      <c r="G69" s="72">
        <v>0.19220000000000001</v>
      </c>
      <c r="U69" s="109">
        <f>(T67-S55)/S55</f>
        <v>0.21701236976297555</v>
      </c>
      <c r="V69" s="13" t="s">
        <v>167</v>
      </c>
    </row>
    <row r="70" spans="1:22" ht="15">
      <c r="D70" s="19"/>
      <c r="E70" s="19"/>
      <c r="U70" s="109">
        <f>(T67-S62)/S62</f>
        <v>5.6868845071217311E-2</v>
      </c>
      <c r="V70" s="13" t="s">
        <v>168</v>
      </c>
    </row>
    <row r="71" spans="1:22" ht="12.75">
      <c r="D71" s="19"/>
      <c r="E71" s="19"/>
    </row>
    <row r="72" spans="1:22" ht="12.75">
      <c r="D72" s="19"/>
      <c r="E72" s="19"/>
    </row>
    <row r="73" spans="1:22" ht="12.75">
      <c r="D73" s="19"/>
      <c r="E73" s="19"/>
    </row>
    <row r="74" spans="1:22" ht="12.75">
      <c r="D74" s="19"/>
      <c r="E74" s="19"/>
    </row>
    <row r="75" spans="1:22" ht="12.75">
      <c r="D75" s="19"/>
      <c r="E75" s="19"/>
    </row>
    <row r="76" spans="1:22" ht="12.75">
      <c r="D76" s="19"/>
      <c r="E76" s="19"/>
    </row>
    <row r="77" spans="1:22" ht="12.75">
      <c r="D77" s="19"/>
      <c r="E77" s="19"/>
    </row>
    <row r="78" spans="1:22" ht="12.75">
      <c r="D78" s="19"/>
      <c r="E78" s="19"/>
    </row>
    <row r="79" spans="1:22" ht="12.75">
      <c r="D79" s="19"/>
      <c r="E79" s="19"/>
    </row>
    <row r="80" spans="1:22" ht="12.75">
      <c r="D80" s="19"/>
      <c r="E80" s="19"/>
    </row>
    <row r="81" spans="4:5" ht="12.75">
      <c r="D81" s="19"/>
      <c r="E81" s="19"/>
    </row>
    <row r="82" spans="4:5" ht="12.75">
      <c r="D82" s="19"/>
      <c r="E82" s="19"/>
    </row>
    <row r="83" spans="4:5" ht="12.75">
      <c r="D83" s="19"/>
      <c r="E83" s="19"/>
    </row>
    <row r="84" spans="4:5" ht="12.75">
      <c r="D84" s="19"/>
      <c r="E84" s="19"/>
    </row>
    <row r="85" spans="4:5" ht="12.75">
      <c r="D85" s="19"/>
      <c r="E85" s="19"/>
    </row>
    <row r="86" spans="4:5" ht="12.75">
      <c r="D86" s="19"/>
      <c r="E86" s="19"/>
    </row>
    <row r="87" spans="4:5" ht="12.75">
      <c r="D87" s="19"/>
      <c r="E87" s="19"/>
    </row>
    <row r="88" spans="4:5" ht="12.75">
      <c r="D88" s="19"/>
      <c r="E88" s="19"/>
    </row>
    <row r="89" spans="4:5" ht="12.75">
      <c r="D89" s="19"/>
      <c r="E89" s="19"/>
    </row>
    <row r="90" spans="4:5" ht="12.75">
      <c r="D90" s="19"/>
      <c r="E90" s="19"/>
    </row>
    <row r="91" spans="4:5" ht="12.75">
      <c r="D91" s="19"/>
      <c r="E91" s="19"/>
    </row>
    <row r="92" spans="4:5" ht="12.75">
      <c r="D92" s="19"/>
      <c r="E92" s="19"/>
    </row>
    <row r="93" spans="4:5" ht="12.75">
      <c r="D93" s="19"/>
      <c r="E93" s="19"/>
    </row>
    <row r="94" spans="4:5" ht="12.75">
      <c r="D94" s="19"/>
      <c r="E94" s="19"/>
    </row>
    <row r="95" spans="4:5" ht="12.75">
      <c r="D95" s="19"/>
      <c r="E95" s="19"/>
    </row>
    <row r="96" spans="4:5" ht="12.75">
      <c r="D96" s="19"/>
      <c r="E96" s="19"/>
    </row>
    <row r="97" spans="4:5" ht="12.75">
      <c r="D97" s="19"/>
      <c r="E97" s="19"/>
    </row>
    <row r="98" spans="4:5" ht="12.75">
      <c r="D98" s="19"/>
      <c r="E98" s="19"/>
    </row>
    <row r="99" spans="4:5" ht="12.75">
      <c r="D99" s="19"/>
      <c r="E99" s="19"/>
    </row>
    <row r="100" spans="4:5" ht="12.75">
      <c r="D100" s="19"/>
      <c r="E100" s="19"/>
    </row>
    <row r="101" spans="4:5" ht="12.75">
      <c r="D101" s="19"/>
      <c r="E101" s="19"/>
    </row>
    <row r="102" spans="4:5" ht="12.75">
      <c r="D102" s="19"/>
      <c r="E102" s="19"/>
    </row>
    <row r="103" spans="4:5" ht="12.75">
      <c r="D103" s="19"/>
      <c r="E103" s="19"/>
    </row>
    <row r="104" spans="4:5" ht="12.75">
      <c r="D104" s="19"/>
      <c r="E104" s="19"/>
    </row>
    <row r="105" spans="4:5" ht="12.75">
      <c r="D105" s="19"/>
      <c r="E105" s="19"/>
    </row>
    <row r="106" spans="4:5" ht="12.75">
      <c r="D106" s="19"/>
      <c r="E106" s="19"/>
    </row>
    <row r="107" spans="4:5" ht="12.75">
      <c r="D107" s="19"/>
      <c r="E107" s="19"/>
    </row>
    <row r="108" spans="4:5" ht="12.75">
      <c r="D108" s="19"/>
      <c r="E108" s="19"/>
    </row>
    <row r="109" spans="4:5" ht="12.75">
      <c r="D109" s="19"/>
      <c r="E109" s="19"/>
    </row>
    <row r="110" spans="4:5" ht="12.75">
      <c r="D110" s="19"/>
      <c r="E110" s="19"/>
    </row>
    <row r="111" spans="4:5" ht="12.75">
      <c r="D111" s="19"/>
      <c r="E111" s="19"/>
    </row>
    <row r="112" spans="4:5" ht="12.75">
      <c r="D112" s="19"/>
      <c r="E112" s="19"/>
    </row>
    <row r="113" spans="4:5" ht="12.75">
      <c r="D113" s="19"/>
      <c r="E113" s="19"/>
    </row>
    <row r="114" spans="4:5" ht="12.75">
      <c r="D114" s="19"/>
      <c r="E114" s="19"/>
    </row>
    <row r="115" spans="4:5" ht="12.75">
      <c r="D115" s="19"/>
      <c r="E115" s="19"/>
    </row>
    <row r="116" spans="4:5" ht="12.75">
      <c r="D116" s="19"/>
      <c r="E116" s="19"/>
    </row>
    <row r="117" spans="4:5" ht="12.75">
      <c r="D117" s="19"/>
      <c r="E117" s="19"/>
    </row>
    <row r="118" spans="4:5" ht="12.75">
      <c r="D118" s="19"/>
      <c r="E118" s="19"/>
    </row>
    <row r="119" spans="4:5" ht="12.75">
      <c r="D119" s="19"/>
      <c r="E119" s="19"/>
    </row>
    <row r="120" spans="4:5" ht="12.75">
      <c r="D120" s="19"/>
      <c r="E120" s="19"/>
    </row>
    <row r="121" spans="4:5" ht="12.75">
      <c r="D121" s="19"/>
      <c r="E121" s="19"/>
    </row>
    <row r="122" spans="4:5" ht="12.75">
      <c r="D122" s="19"/>
      <c r="E122" s="19"/>
    </row>
    <row r="123" spans="4:5" ht="12.75">
      <c r="D123" s="19"/>
      <c r="E123" s="19"/>
    </row>
    <row r="124" spans="4:5" ht="12.75">
      <c r="D124" s="19"/>
      <c r="E124" s="19"/>
    </row>
    <row r="125" spans="4:5" ht="12.75">
      <c r="D125" s="19"/>
      <c r="E125" s="19"/>
    </row>
    <row r="126" spans="4:5" ht="12.75">
      <c r="D126" s="19"/>
      <c r="E126" s="19"/>
    </row>
    <row r="127" spans="4:5" ht="12.75">
      <c r="D127" s="19"/>
      <c r="E127" s="19"/>
    </row>
    <row r="128" spans="4:5" ht="12.75">
      <c r="D128" s="19"/>
      <c r="E128" s="19"/>
    </row>
    <row r="129" spans="4:5" ht="12.75">
      <c r="D129" s="19"/>
      <c r="E129" s="19"/>
    </row>
    <row r="130" spans="4:5" ht="12.75">
      <c r="D130" s="19"/>
      <c r="E130" s="19"/>
    </row>
    <row r="131" spans="4:5" ht="12.75">
      <c r="D131" s="19"/>
      <c r="E131" s="19"/>
    </row>
    <row r="132" spans="4:5" ht="12.75">
      <c r="D132" s="19"/>
      <c r="E132" s="19"/>
    </row>
    <row r="133" spans="4:5" ht="12.75">
      <c r="D133" s="19"/>
      <c r="E133" s="19"/>
    </row>
    <row r="134" spans="4:5" ht="12.75">
      <c r="D134" s="19"/>
      <c r="E134" s="19"/>
    </row>
    <row r="135" spans="4:5" ht="12.75">
      <c r="D135" s="19"/>
      <c r="E135" s="19"/>
    </row>
    <row r="136" spans="4:5" ht="12.75">
      <c r="D136" s="19"/>
      <c r="E136" s="19"/>
    </row>
    <row r="137" spans="4:5" ht="12.75">
      <c r="D137" s="19"/>
      <c r="E137" s="19"/>
    </row>
    <row r="138" spans="4:5" ht="12.75">
      <c r="D138" s="19"/>
      <c r="E138" s="19"/>
    </row>
    <row r="139" spans="4:5" ht="12.75">
      <c r="D139" s="19"/>
      <c r="E139" s="19"/>
    </row>
    <row r="140" spans="4:5" ht="12.75">
      <c r="D140" s="19"/>
      <c r="E140" s="19"/>
    </row>
    <row r="141" spans="4:5" ht="12.75">
      <c r="D141" s="19"/>
      <c r="E141" s="19"/>
    </row>
    <row r="142" spans="4:5" ht="12.75">
      <c r="D142" s="19"/>
      <c r="E142" s="19"/>
    </row>
    <row r="143" spans="4:5" ht="12.75">
      <c r="D143" s="19"/>
      <c r="E143" s="19"/>
    </row>
    <row r="144" spans="4:5" ht="12.75">
      <c r="D144" s="19"/>
      <c r="E144" s="19"/>
    </row>
    <row r="145" spans="4:5" ht="12.75">
      <c r="D145" s="19"/>
      <c r="E145" s="19"/>
    </row>
    <row r="146" spans="4:5" ht="12.75">
      <c r="D146" s="19"/>
      <c r="E146" s="19"/>
    </row>
    <row r="147" spans="4:5" ht="12.75">
      <c r="D147" s="19"/>
      <c r="E147" s="19"/>
    </row>
    <row r="148" spans="4:5" ht="12.75">
      <c r="D148" s="19"/>
      <c r="E148" s="19"/>
    </row>
    <row r="149" spans="4:5" ht="12.75">
      <c r="D149" s="19"/>
      <c r="E149" s="19"/>
    </row>
    <row r="150" spans="4:5" ht="12.75">
      <c r="D150" s="19"/>
      <c r="E150" s="19"/>
    </row>
    <row r="151" spans="4:5" ht="12.75">
      <c r="D151" s="19"/>
      <c r="E151" s="19"/>
    </row>
    <row r="152" spans="4:5" ht="12.75">
      <c r="D152" s="19"/>
      <c r="E152" s="19"/>
    </row>
    <row r="153" spans="4:5" ht="12.75">
      <c r="D153" s="19"/>
      <c r="E153" s="19"/>
    </row>
    <row r="154" spans="4:5" ht="12.75">
      <c r="D154" s="19"/>
      <c r="E154" s="19"/>
    </row>
    <row r="155" spans="4:5" ht="12.75">
      <c r="D155" s="19"/>
      <c r="E155" s="19"/>
    </row>
    <row r="156" spans="4:5" ht="12.75">
      <c r="D156" s="19"/>
      <c r="E156" s="19"/>
    </row>
    <row r="157" spans="4:5" ht="12.75">
      <c r="D157" s="19"/>
      <c r="E157" s="19"/>
    </row>
    <row r="158" spans="4:5" ht="12.75">
      <c r="D158" s="19"/>
      <c r="E158" s="19"/>
    </row>
    <row r="159" spans="4:5" ht="12.75">
      <c r="D159" s="19"/>
      <c r="E159" s="19"/>
    </row>
    <row r="160" spans="4:5" ht="12.75">
      <c r="D160" s="19"/>
      <c r="E160" s="19"/>
    </row>
    <row r="161" spans="4:5" ht="12.75">
      <c r="D161" s="19"/>
      <c r="E161" s="19"/>
    </row>
    <row r="162" spans="4:5" ht="12.75">
      <c r="D162" s="19"/>
      <c r="E162" s="19"/>
    </row>
    <row r="163" spans="4:5" ht="12.75">
      <c r="D163" s="19"/>
      <c r="E163" s="19"/>
    </row>
    <row r="164" spans="4:5" ht="12.75">
      <c r="D164" s="19"/>
      <c r="E164" s="19"/>
    </row>
    <row r="165" spans="4:5" ht="12.75">
      <c r="D165" s="19"/>
      <c r="E165" s="19"/>
    </row>
    <row r="166" spans="4:5" ht="12.75">
      <c r="D166" s="19"/>
      <c r="E166" s="19"/>
    </row>
    <row r="167" spans="4:5" ht="12.75">
      <c r="D167" s="19"/>
      <c r="E167" s="19"/>
    </row>
    <row r="168" spans="4:5" ht="12.75">
      <c r="D168" s="19"/>
      <c r="E168" s="19"/>
    </row>
    <row r="169" spans="4:5" ht="12.75">
      <c r="D169" s="19"/>
      <c r="E169" s="19"/>
    </row>
    <row r="170" spans="4:5" ht="12.75">
      <c r="D170" s="19"/>
      <c r="E170" s="19"/>
    </row>
    <row r="171" spans="4:5" ht="12.75">
      <c r="D171" s="19"/>
      <c r="E171" s="19"/>
    </row>
    <row r="172" spans="4:5" ht="12.75">
      <c r="D172" s="19"/>
      <c r="E172" s="19"/>
    </row>
    <row r="173" spans="4:5" ht="12.75">
      <c r="D173" s="19"/>
      <c r="E173" s="19"/>
    </row>
    <row r="174" spans="4:5" ht="12.75">
      <c r="D174" s="19"/>
      <c r="E174" s="19"/>
    </row>
    <row r="175" spans="4:5" ht="12.75">
      <c r="D175" s="19"/>
      <c r="E175" s="19"/>
    </row>
    <row r="176" spans="4:5" ht="12.75">
      <c r="D176" s="19"/>
      <c r="E176" s="19"/>
    </row>
    <row r="177" spans="4:5" ht="12.75">
      <c r="D177" s="19"/>
      <c r="E177" s="19"/>
    </row>
    <row r="178" spans="4:5" ht="12.75">
      <c r="D178" s="19"/>
      <c r="E178" s="19"/>
    </row>
    <row r="179" spans="4:5" ht="12.75">
      <c r="D179" s="19"/>
      <c r="E179" s="19"/>
    </row>
    <row r="180" spans="4:5" ht="12.75">
      <c r="D180" s="19"/>
      <c r="E180" s="19"/>
    </row>
    <row r="181" spans="4:5" ht="12.75">
      <c r="D181" s="19"/>
      <c r="E181" s="19"/>
    </row>
    <row r="182" spans="4:5" ht="12.75">
      <c r="D182" s="19"/>
      <c r="E182" s="19"/>
    </row>
    <row r="183" spans="4:5" ht="12.75">
      <c r="D183" s="19"/>
      <c r="E183" s="19"/>
    </row>
    <row r="184" spans="4:5" ht="12.75">
      <c r="D184" s="19"/>
      <c r="E184" s="19"/>
    </row>
    <row r="185" spans="4:5" ht="12.75">
      <c r="D185" s="19"/>
      <c r="E185" s="19"/>
    </row>
    <row r="186" spans="4:5" ht="12.75">
      <c r="D186" s="19"/>
      <c r="E186" s="19"/>
    </row>
    <row r="187" spans="4:5" ht="12.75">
      <c r="D187" s="19"/>
      <c r="E187" s="19"/>
    </row>
    <row r="188" spans="4:5" ht="12.75">
      <c r="D188" s="19"/>
      <c r="E188" s="19"/>
    </row>
    <row r="189" spans="4:5" ht="12.75">
      <c r="D189" s="19"/>
      <c r="E189" s="19"/>
    </row>
    <row r="190" spans="4:5" ht="12.75">
      <c r="D190" s="19"/>
      <c r="E190" s="19"/>
    </row>
    <row r="191" spans="4:5" ht="12.75">
      <c r="D191" s="19"/>
      <c r="E191" s="19"/>
    </row>
    <row r="192" spans="4:5" ht="12.75">
      <c r="D192" s="19"/>
      <c r="E192" s="19"/>
    </row>
    <row r="193" spans="4:5" ht="12.75">
      <c r="D193" s="19"/>
      <c r="E193" s="19"/>
    </row>
    <row r="194" spans="4:5" ht="12.75">
      <c r="D194" s="19"/>
      <c r="E194" s="19"/>
    </row>
    <row r="195" spans="4:5" ht="12.75">
      <c r="D195" s="19"/>
      <c r="E195" s="19"/>
    </row>
    <row r="196" spans="4:5" ht="12.75">
      <c r="D196" s="19"/>
      <c r="E196" s="19"/>
    </row>
    <row r="197" spans="4:5" ht="12.75">
      <c r="D197" s="19"/>
      <c r="E197" s="19"/>
    </row>
    <row r="198" spans="4:5" ht="12.75">
      <c r="D198" s="19"/>
      <c r="E198" s="19"/>
    </row>
    <row r="199" spans="4:5" ht="12.75">
      <c r="D199" s="19"/>
      <c r="E199" s="19"/>
    </row>
    <row r="200" spans="4:5" ht="12.75">
      <c r="D200" s="19"/>
      <c r="E200" s="19"/>
    </row>
    <row r="201" spans="4:5" ht="12.75">
      <c r="D201" s="19"/>
      <c r="E201" s="19"/>
    </row>
    <row r="202" spans="4:5" ht="12.75">
      <c r="D202" s="19"/>
      <c r="E202" s="19"/>
    </row>
    <row r="203" spans="4:5" ht="12.75">
      <c r="D203" s="19"/>
      <c r="E203" s="19"/>
    </row>
    <row r="204" spans="4:5" ht="12.75">
      <c r="D204" s="19"/>
      <c r="E204" s="19"/>
    </row>
    <row r="205" spans="4:5" ht="12.75">
      <c r="D205" s="19"/>
      <c r="E205" s="19"/>
    </row>
    <row r="206" spans="4:5" ht="12.75">
      <c r="D206" s="19"/>
      <c r="E206" s="19"/>
    </row>
    <row r="207" spans="4:5" ht="12.75">
      <c r="D207" s="19"/>
      <c r="E207" s="19"/>
    </row>
    <row r="208" spans="4:5" ht="12.75">
      <c r="D208" s="19"/>
      <c r="E208" s="19"/>
    </row>
    <row r="209" spans="4:5" ht="12.75">
      <c r="D209" s="19"/>
      <c r="E209" s="19"/>
    </row>
    <row r="210" spans="4:5" ht="12.75">
      <c r="D210" s="19"/>
      <c r="E210" s="19"/>
    </row>
    <row r="211" spans="4:5" ht="12.75">
      <c r="D211" s="19"/>
      <c r="E211" s="19"/>
    </row>
    <row r="212" spans="4:5" ht="12.75">
      <c r="D212" s="19"/>
      <c r="E212" s="19"/>
    </row>
    <row r="213" spans="4:5" ht="12.75">
      <c r="D213" s="19"/>
      <c r="E213" s="19"/>
    </row>
    <row r="214" spans="4:5" ht="12.75">
      <c r="D214" s="19"/>
      <c r="E214" s="19"/>
    </row>
    <row r="215" spans="4:5" ht="12.75">
      <c r="D215" s="19"/>
      <c r="E215" s="19"/>
    </row>
    <row r="216" spans="4:5" ht="12.75">
      <c r="D216" s="19"/>
      <c r="E216" s="19"/>
    </row>
    <row r="217" spans="4:5" ht="12.75">
      <c r="D217" s="19"/>
      <c r="E217" s="19"/>
    </row>
    <row r="218" spans="4:5" ht="12.75">
      <c r="D218" s="19"/>
      <c r="E218" s="19"/>
    </row>
    <row r="219" spans="4:5" ht="12.75">
      <c r="D219" s="19"/>
      <c r="E219" s="19"/>
    </row>
    <row r="220" spans="4:5" ht="12.75">
      <c r="D220" s="19"/>
      <c r="E220" s="19"/>
    </row>
    <row r="221" spans="4:5" ht="12.75">
      <c r="D221" s="19"/>
      <c r="E221" s="19"/>
    </row>
    <row r="222" spans="4:5" ht="12.75">
      <c r="D222" s="19"/>
      <c r="E222" s="19"/>
    </row>
    <row r="223" spans="4:5" ht="12.75">
      <c r="D223" s="19"/>
      <c r="E223" s="19"/>
    </row>
    <row r="224" spans="4:5" ht="12.75">
      <c r="D224" s="19"/>
      <c r="E224" s="19"/>
    </row>
    <row r="225" spans="4:5" ht="12.75">
      <c r="D225" s="19"/>
      <c r="E225" s="19"/>
    </row>
    <row r="226" spans="4:5" ht="12.75">
      <c r="D226" s="19"/>
      <c r="E226" s="19"/>
    </row>
    <row r="227" spans="4:5" ht="12.75">
      <c r="D227" s="19"/>
      <c r="E227" s="19"/>
    </row>
    <row r="228" spans="4:5" ht="12.75">
      <c r="D228" s="19"/>
      <c r="E228" s="19"/>
    </row>
    <row r="229" spans="4:5" ht="12.75">
      <c r="D229" s="19"/>
      <c r="E229" s="19"/>
    </row>
    <row r="230" spans="4:5" ht="12.75">
      <c r="D230" s="19"/>
      <c r="E230" s="19"/>
    </row>
    <row r="231" spans="4:5" ht="12.75">
      <c r="D231" s="19"/>
      <c r="E231" s="19"/>
    </row>
    <row r="232" spans="4:5" ht="12.75">
      <c r="D232" s="19"/>
      <c r="E232" s="19"/>
    </row>
    <row r="233" spans="4:5" ht="12.75">
      <c r="D233" s="19"/>
      <c r="E233" s="19"/>
    </row>
    <row r="234" spans="4:5" ht="12.75">
      <c r="D234" s="19"/>
      <c r="E234" s="19"/>
    </row>
    <row r="235" spans="4:5" ht="12.75">
      <c r="D235" s="19"/>
      <c r="E235" s="19"/>
    </row>
    <row r="236" spans="4:5" ht="12.75">
      <c r="D236" s="19"/>
      <c r="E236" s="19"/>
    </row>
    <row r="237" spans="4:5" ht="12.75">
      <c r="D237" s="19"/>
      <c r="E237" s="19"/>
    </row>
    <row r="238" spans="4:5" ht="12.75">
      <c r="D238" s="19"/>
      <c r="E238" s="19"/>
    </row>
    <row r="239" spans="4:5" ht="12.75">
      <c r="D239" s="19"/>
      <c r="E239" s="19"/>
    </row>
    <row r="240" spans="4:5" ht="12.75">
      <c r="D240" s="19"/>
      <c r="E240" s="19"/>
    </row>
    <row r="241" spans="4:5" ht="12.75">
      <c r="D241" s="19"/>
      <c r="E241" s="19"/>
    </row>
    <row r="242" spans="4:5" ht="12.75">
      <c r="D242" s="19"/>
      <c r="E242" s="19"/>
    </row>
    <row r="243" spans="4:5" ht="12.75">
      <c r="D243" s="19"/>
      <c r="E243" s="19"/>
    </row>
    <row r="244" spans="4:5" ht="12.75">
      <c r="D244" s="19"/>
      <c r="E244" s="19"/>
    </row>
    <row r="245" spans="4:5" ht="12.75">
      <c r="D245" s="19"/>
      <c r="E245" s="19"/>
    </row>
    <row r="246" spans="4:5" ht="12.75">
      <c r="D246" s="19"/>
      <c r="E246" s="19"/>
    </row>
    <row r="247" spans="4:5" ht="12.75">
      <c r="D247" s="19"/>
      <c r="E247" s="19"/>
    </row>
    <row r="248" spans="4:5" ht="12.75">
      <c r="D248" s="19"/>
      <c r="E248" s="19"/>
    </row>
    <row r="249" spans="4:5" ht="12.75">
      <c r="D249" s="19"/>
      <c r="E249" s="19"/>
    </row>
    <row r="250" spans="4:5" ht="12.75">
      <c r="D250" s="19"/>
      <c r="E250" s="19"/>
    </row>
    <row r="251" spans="4:5" ht="12.75">
      <c r="D251" s="19"/>
      <c r="E251" s="19"/>
    </row>
    <row r="252" spans="4:5" ht="12.75">
      <c r="D252" s="19"/>
      <c r="E252" s="19"/>
    </row>
    <row r="253" spans="4:5" ht="12.75">
      <c r="D253" s="19"/>
      <c r="E253" s="19"/>
    </row>
    <row r="254" spans="4:5" ht="12.75">
      <c r="D254" s="19"/>
      <c r="E254" s="19"/>
    </row>
    <row r="255" spans="4:5" ht="12.75">
      <c r="D255" s="19"/>
      <c r="E255" s="19"/>
    </row>
    <row r="256" spans="4:5" ht="12.75">
      <c r="D256" s="19"/>
      <c r="E256" s="19"/>
    </row>
    <row r="257" spans="4:5" ht="12.75">
      <c r="D257" s="19"/>
      <c r="E257" s="19"/>
    </row>
    <row r="258" spans="4:5" ht="12.75">
      <c r="D258" s="19"/>
      <c r="E258" s="19"/>
    </row>
    <row r="259" spans="4:5" ht="12.75">
      <c r="D259" s="19"/>
      <c r="E259" s="19"/>
    </row>
    <row r="260" spans="4:5" ht="12.75">
      <c r="D260" s="19"/>
      <c r="E260" s="19"/>
    </row>
    <row r="261" spans="4:5" ht="12.75">
      <c r="D261" s="19"/>
      <c r="E261" s="19"/>
    </row>
    <row r="262" spans="4:5" ht="12.75">
      <c r="D262" s="19"/>
      <c r="E262" s="19"/>
    </row>
    <row r="263" spans="4:5" ht="12.75">
      <c r="D263" s="19"/>
      <c r="E263" s="19"/>
    </row>
    <row r="264" spans="4:5" ht="12.75">
      <c r="D264" s="19"/>
      <c r="E264" s="19"/>
    </row>
    <row r="265" spans="4:5" ht="12.75">
      <c r="D265" s="19"/>
      <c r="E265" s="19"/>
    </row>
    <row r="266" spans="4:5" ht="12.75">
      <c r="D266" s="19"/>
      <c r="E266" s="19"/>
    </row>
    <row r="267" spans="4:5" ht="12.75">
      <c r="D267" s="19"/>
      <c r="E267" s="19"/>
    </row>
    <row r="268" spans="4:5" ht="12.75">
      <c r="D268" s="19"/>
      <c r="E268" s="19"/>
    </row>
    <row r="269" spans="4:5" ht="12.75">
      <c r="D269" s="19"/>
      <c r="E269" s="19"/>
    </row>
    <row r="270" spans="4:5" ht="12.75">
      <c r="D270" s="19"/>
      <c r="E270" s="19"/>
    </row>
    <row r="271" spans="4:5" ht="12.75">
      <c r="D271" s="19"/>
      <c r="E271" s="19"/>
    </row>
    <row r="272" spans="4:5" ht="12.75">
      <c r="D272" s="19"/>
      <c r="E272" s="19"/>
    </row>
    <row r="273" spans="4:5" ht="12.75">
      <c r="D273" s="19"/>
      <c r="E273" s="19"/>
    </row>
    <row r="274" spans="4:5" ht="12.75">
      <c r="D274" s="19"/>
      <c r="E274" s="19"/>
    </row>
    <row r="275" spans="4:5" ht="12.75">
      <c r="D275" s="19"/>
      <c r="E275" s="19"/>
    </row>
    <row r="276" spans="4:5" ht="12.75">
      <c r="D276" s="19"/>
      <c r="E276" s="19"/>
    </row>
    <row r="277" spans="4:5" ht="12.75">
      <c r="D277" s="19"/>
      <c r="E277" s="19"/>
    </row>
    <row r="278" spans="4:5" ht="12.75">
      <c r="D278" s="19"/>
      <c r="E278" s="19"/>
    </row>
    <row r="279" spans="4:5" ht="12.75">
      <c r="D279" s="19"/>
      <c r="E279" s="19"/>
    </row>
    <row r="280" spans="4:5" ht="12.75">
      <c r="D280" s="19"/>
      <c r="E280" s="19"/>
    </row>
    <row r="281" spans="4:5" ht="12.75">
      <c r="D281" s="19"/>
      <c r="E281" s="19"/>
    </row>
    <row r="282" spans="4:5" ht="12.75">
      <c r="D282" s="19"/>
      <c r="E282" s="19"/>
    </row>
    <row r="283" spans="4:5" ht="12.75">
      <c r="D283" s="19"/>
      <c r="E283" s="19"/>
    </row>
    <row r="284" spans="4:5" ht="12.75">
      <c r="D284" s="19"/>
      <c r="E284" s="19"/>
    </row>
    <row r="285" spans="4:5" ht="12.75">
      <c r="D285" s="19"/>
      <c r="E285" s="19"/>
    </row>
    <row r="286" spans="4:5" ht="12.75">
      <c r="D286" s="19"/>
      <c r="E286" s="19"/>
    </row>
    <row r="287" spans="4:5" ht="12.75">
      <c r="D287" s="19"/>
      <c r="E287" s="19"/>
    </row>
    <row r="288" spans="4:5" ht="12.75">
      <c r="D288" s="19"/>
      <c r="E288" s="19"/>
    </row>
    <row r="289" spans="4:5" ht="12.75">
      <c r="D289" s="19"/>
      <c r="E289" s="19"/>
    </row>
    <row r="290" spans="4:5" ht="12.75">
      <c r="D290" s="19"/>
      <c r="E290" s="19"/>
    </row>
    <row r="291" spans="4:5" ht="12.75">
      <c r="D291" s="19"/>
      <c r="E291" s="19"/>
    </row>
    <row r="292" spans="4:5" ht="12.75">
      <c r="D292" s="19"/>
      <c r="E292" s="19"/>
    </row>
    <row r="293" spans="4:5" ht="12.75">
      <c r="D293" s="19"/>
      <c r="E293" s="19"/>
    </row>
    <row r="294" spans="4:5" ht="12.75">
      <c r="D294" s="19"/>
      <c r="E294" s="19"/>
    </row>
    <row r="295" spans="4:5" ht="12.75">
      <c r="D295" s="19"/>
      <c r="E295" s="19"/>
    </row>
    <row r="296" spans="4:5" ht="12.75">
      <c r="D296" s="19"/>
      <c r="E296" s="19"/>
    </row>
    <row r="297" spans="4:5" ht="12.75">
      <c r="D297" s="19"/>
      <c r="E297" s="19"/>
    </row>
    <row r="298" spans="4:5" ht="12.75">
      <c r="D298" s="19"/>
      <c r="E298" s="19"/>
    </row>
    <row r="299" spans="4:5" ht="12.75">
      <c r="D299" s="19"/>
      <c r="E299" s="19"/>
    </row>
    <row r="300" spans="4:5" ht="12.75">
      <c r="D300" s="19"/>
      <c r="E300" s="19"/>
    </row>
    <row r="301" spans="4:5" ht="12.75">
      <c r="D301" s="19"/>
      <c r="E301" s="19"/>
    </row>
    <row r="302" spans="4:5" ht="12.75">
      <c r="D302" s="19"/>
      <c r="E302" s="19"/>
    </row>
    <row r="303" spans="4:5" ht="12.75">
      <c r="D303" s="19"/>
      <c r="E303" s="19"/>
    </row>
    <row r="304" spans="4:5" ht="12.75">
      <c r="D304" s="19"/>
      <c r="E304" s="19"/>
    </row>
    <row r="305" spans="4:5" ht="12.75">
      <c r="D305" s="19"/>
      <c r="E305" s="19"/>
    </row>
    <row r="306" spans="4:5" ht="12.75">
      <c r="D306" s="19"/>
      <c r="E306" s="19"/>
    </row>
    <row r="307" spans="4:5" ht="12.75">
      <c r="D307" s="19"/>
      <c r="E307" s="19"/>
    </row>
    <row r="308" spans="4:5" ht="12.75">
      <c r="D308" s="19"/>
      <c r="E308" s="19"/>
    </row>
    <row r="309" spans="4:5" ht="12.75">
      <c r="D309" s="19"/>
      <c r="E309" s="19"/>
    </row>
    <row r="310" spans="4:5" ht="12.75">
      <c r="D310" s="19"/>
      <c r="E310" s="19"/>
    </row>
    <row r="311" spans="4:5" ht="12.75">
      <c r="D311" s="19"/>
      <c r="E311" s="19"/>
    </row>
    <row r="312" spans="4:5" ht="12.75">
      <c r="D312" s="19"/>
      <c r="E312" s="19"/>
    </row>
    <row r="313" spans="4:5" ht="12.75">
      <c r="D313" s="19"/>
      <c r="E313" s="19"/>
    </row>
    <row r="314" spans="4:5" ht="12.75">
      <c r="D314" s="19"/>
      <c r="E314" s="19"/>
    </row>
    <row r="315" spans="4:5" ht="12.75">
      <c r="D315" s="19"/>
      <c r="E315" s="19"/>
    </row>
    <row r="316" spans="4:5" ht="12.75">
      <c r="D316" s="19"/>
      <c r="E316" s="19"/>
    </row>
    <row r="317" spans="4:5" ht="12.75">
      <c r="D317" s="19"/>
      <c r="E317" s="19"/>
    </row>
    <row r="318" spans="4:5" ht="12.75">
      <c r="D318" s="19"/>
      <c r="E318" s="19"/>
    </row>
    <row r="319" spans="4:5" ht="12.75">
      <c r="D319" s="19"/>
      <c r="E319" s="19"/>
    </row>
    <row r="320" spans="4:5" ht="12.75">
      <c r="D320" s="19"/>
      <c r="E320" s="19"/>
    </row>
    <row r="321" spans="4:5" ht="12.75">
      <c r="D321" s="19"/>
      <c r="E321" s="19"/>
    </row>
    <row r="322" spans="4:5" ht="12.75">
      <c r="D322" s="19"/>
      <c r="E322" s="19"/>
    </row>
    <row r="323" spans="4:5" ht="12.75">
      <c r="D323" s="19"/>
      <c r="E323" s="19"/>
    </row>
    <row r="324" spans="4:5" ht="12.75">
      <c r="D324" s="19"/>
      <c r="E324" s="19"/>
    </row>
    <row r="325" spans="4:5" ht="12.75">
      <c r="D325" s="19"/>
      <c r="E325" s="19"/>
    </row>
    <row r="326" spans="4:5" ht="12.75">
      <c r="D326" s="19"/>
      <c r="E326" s="19"/>
    </row>
    <row r="327" spans="4:5" ht="12.75">
      <c r="D327" s="19"/>
      <c r="E327" s="19"/>
    </row>
    <row r="328" spans="4:5" ht="12.75">
      <c r="D328" s="19"/>
      <c r="E328" s="19"/>
    </row>
    <row r="329" spans="4:5" ht="12.75">
      <c r="D329" s="19"/>
      <c r="E329" s="19"/>
    </row>
    <row r="330" spans="4:5" ht="12.75">
      <c r="D330" s="19"/>
      <c r="E330" s="19"/>
    </row>
    <row r="331" spans="4:5" ht="12.75">
      <c r="D331" s="19"/>
      <c r="E331" s="19"/>
    </row>
    <row r="332" spans="4:5" ht="12.75">
      <c r="D332" s="19"/>
      <c r="E332" s="19"/>
    </row>
    <row r="333" spans="4:5" ht="12.75">
      <c r="D333" s="19"/>
      <c r="E333" s="19"/>
    </row>
    <row r="334" spans="4:5" ht="12.75">
      <c r="D334" s="19"/>
      <c r="E334" s="19"/>
    </row>
    <row r="335" spans="4:5" ht="12.75">
      <c r="D335" s="19"/>
      <c r="E335" s="19"/>
    </row>
    <row r="336" spans="4:5" ht="12.75">
      <c r="D336" s="19"/>
      <c r="E336" s="19"/>
    </row>
    <row r="337" spans="4:5" ht="12.75">
      <c r="D337" s="19"/>
      <c r="E337" s="19"/>
    </row>
    <row r="338" spans="4:5" ht="12.75">
      <c r="D338" s="19"/>
      <c r="E338" s="19"/>
    </row>
    <row r="339" spans="4:5" ht="12.75">
      <c r="D339" s="19"/>
      <c r="E339" s="19"/>
    </row>
    <row r="340" spans="4:5" ht="12.75">
      <c r="D340" s="19"/>
      <c r="E340" s="19"/>
    </row>
    <row r="341" spans="4:5" ht="12.75">
      <c r="D341" s="19"/>
      <c r="E341" s="19"/>
    </row>
    <row r="342" spans="4:5" ht="12.75">
      <c r="D342" s="19"/>
      <c r="E342" s="19"/>
    </row>
    <row r="343" spans="4:5" ht="12.75">
      <c r="D343" s="19"/>
      <c r="E343" s="19"/>
    </row>
    <row r="344" spans="4:5" ht="12.75">
      <c r="D344" s="19"/>
      <c r="E344" s="19"/>
    </row>
    <row r="345" spans="4:5" ht="12.75">
      <c r="D345" s="19"/>
      <c r="E345" s="19"/>
    </row>
    <row r="346" spans="4:5" ht="12.75">
      <c r="D346" s="19"/>
      <c r="E346" s="19"/>
    </row>
    <row r="347" spans="4:5" ht="12.75">
      <c r="D347" s="19"/>
      <c r="E347" s="19"/>
    </row>
    <row r="348" spans="4:5" ht="12.75">
      <c r="D348" s="19"/>
      <c r="E348" s="19"/>
    </row>
    <row r="349" spans="4:5" ht="12.75">
      <c r="D349" s="19"/>
      <c r="E349" s="19"/>
    </row>
    <row r="350" spans="4:5" ht="12.75">
      <c r="D350" s="19"/>
      <c r="E350" s="19"/>
    </row>
    <row r="351" spans="4:5" ht="12.75">
      <c r="D351" s="19"/>
      <c r="E351" s="19"/>
    </row>
    <row r="352" spans="4:5" ht="12.75">
      <c r="D352" s="19"/>
      <c r="E352" s="19"/>
    </row>
    <row r="353" spans="4:5" ht="12.75">
      <c r="D353" s="19"/>
      <c r="E353" s="19"/>
    </row>
    <row r="354" spans="4:5" ht="12.75">
      <c r="D354" s="19"/>
      <c r="E354" s="19"/>
    </row>
    <row r="355" spans="4:5" ht="12.75">
      <c r="D355" s="19"/>
      <c r="E355" s="19"/>
    </row>
    <row r="356" spans="4:5" ht="12.75">
      <c r="D356" s="19"/>
      <c r="E356" s="19"/>
    </row>
    <row r="357" spans="4:5" ht="12.75">
      <c r="D357" s="19"/>
      <c r="E357" s="19"/>
    </row>
    <row r="358" spans="4:5" ht="12.75">
      <c r="D358" s="19"/>
      <c r="E358" s="19"/>
    </row>
    <row r="359" spans="4:5" ht="12.75">
      <c r="D359" s="19"/>
      <c r="E359" s="19"/>
    </row>
    <row r="360" spans="4:5" ht="12.75">
      <c r="D360" s="19"/>
      <c r="E360" s="19"/>
    </row>
    <row r="361" spans="4:5" ht="12.75">
      <c r="D361" s="19"/>
      <c r="E361" s="19"/>
    </row>
    <row r="362" spans="4:5" ht="12.75">
      <c r="D362" s="19"/>
      <c r="E362" s="19"/>
    </row>
    <row r="363" spans="4:5" ht="12.75">
      <c r="D363" s="19"/>
      <c r="E363" s="19"/>
    </row>
    <row r="364" spans="4:5" ht="12.75">
      <c r="D364" s="19"/>
      <c r="E364" s="19"/>
    </row>
    <row r="365" spans="4:5" ht="12.75">
      <c r="D365" s="19"/>
      <c r="E365" s="19"/>
    </row>
    <row r="366" spans="4:5" ht="12.75">
      <c r="D366" s="19"/>
      <c r="E366" s="19"/>
    </row>
    <row r="367" spans="4:5" ht="12.75">
      <c r="D367" s="19"/>
      <c r="E367" s="19"/>
    </row>
    <row r="368" spans="4:5" ht="12.75">
      <c r="D368" s="19"/>
      <c r="E368" s="19"/>
    </row>
    <row r="369" spans="4:5" ht="12.75">
      <c r="D369" s="19"/>
      <c r="E369" s="19"/>
    </row>
    <row r="370" spans="4:5" ht="12.75">
      <c r="D370" s="19"/>
      <c r="E370" s="19"/>
    </row>
    <row r="371" spans="4:5" ht="12.75">
      <c r="D371" s="19"/>
      <c r="E371" s="19"/>
    </row>
    <row r="372" spans="4:5" ht="12.75">
      <c r="D372" s="19"/>
      <c r="E372" s="19"/>
    </row>
    <row r="373" spans="4:5" ht="12.75">
      <c r="D373" s="19"/>
      <c r="E373" s="19"/>
    </row>
    <row r="374" spans="4:5" ht="12.75">
      <c r="D374" s="19"/>
      <c r="E374" s="19"/>
    </row>
    <row r="375" spans="4:5" ht="12.75">
      <c r="D375" s="19"/>
      <c r="E375" s="19"/>
    </row>
    <row r="376" spans="4:5" ht="12.75">
      <c r="D376" s="19"/>
      <c r="E376" s="19"/>
    </row>
    <row r="377" spans="4:5" ht="12.75">
      <c r="D377" s="19"/>
      <c r="E377" s="19"/>
    </row>
    <row r="378" spans="4:5" ht="12.75">
      <c r="D378" s="19"/>
      <c r="E378" s="19"/>
    </row>
    <row r="379" spans="4:5" ht="12.75">
      <c r="D379" s="19"/>
      <c r="E379" s="19"/>
    </row>
    <row r="380" spans="4:5" ht="12.75">
      <c r="D380" s="19"/>
      <c r="E380" s="19"/>
    </row>
    <row r="381" spans="4:5" ht="12.75">
      <c r="D381" s="19"/>
      <c r="E381" s="19"/>
    </row>
    <row r="382" spans="4:5" ht="12.75">
      <c r="D382" s="19"/>
      <c r="E382" s="19"/>
    </row>
    <row r="383" spans="4:5" ht="12.75">
      <c r="D383" s="19"/>
      <c r="E383" s="19"/>
    </row>
    <row r="384" spans="4:5" ht="12.75">
      <c r="D384" s="19"/>
      <c r="E384" s="19"/>
    </row>
    <row r="385" spans="4:5" ht="12.75">
      <c r="D385" s="19"/>
      <c r="E385" s="19"/>
    </row>
    <row r="386" spans="4:5" ht="12.75">
      <c r="D386" s="19"/>
      <c r="E386" s="19"/>
    </row>
    <row r="387" spans="4:5" ht="12.75">
      <c r="D387" s="19"/>
      <c r="E387" s="19"/>
    </row>
    <row r="388" spans="4:5" ht="12.75">
      <c r="D388" s="19"/>
      <c r="E388" s="19"/>
    </row>
    <row r="389" spans="4:5" ht="12.75">
      <c r="D389" s="19"/>
      <c r="E389" s="19"/>
    </row>
    <row r="390" spans="4:5" ht="12.75">
      <c r="D390" s="19"/>
      <c r="E390" s="19"/>
    </row>
    <row r="391" spans="4:5" ht="12.75">
      <c r="D391" s="19"/>
      <c r="E391" s="19"/>
    </row>
    <row r="392" spans="4:5" ht="12.75">
      <c r="D392" s="19"/>
      <c r="E392" s="19"/>
    </row>
    <row r="393" spans="4:5" ht="12.75">
      <c r="D393" s="19"/>
      <c r="E393" s="19"/>
    </row>
    <row r="394" spans="4:5" ht="12.75">
      <c r="D394" s="19"/>
      <c r="E394" s="19"/>
    </row>
    <row r="395" spans="4:5" ht="12.75">
      <c r="D395" s="19"/>
      <c r="E395" s="19"/>
    </row>
    <row r="396" spans="4:5" ht="12.75">
      <c r="D396" s="19"/>
      <c r="E396" s="19"/>
    </row>
    <row r="397" spans="4:5" ht="12.75">
      <c r="D397" s="19"/>
      <c r="E397" s="19"/>
    </row>
    <row r="398" spans="4:5" ht="12.75">
      <c r="D398" s="19"/>
      <c r="E398" s="19"/>
    </row>
    <row r="399" spans="4:5" ht="12.75">
      <c r="D399" s="19"/>
      <c r="E399" s="19"/>
    </row>
    <row r="400" spans="4:5" ht="12.75">
      <c r="D400" s="19"/>
      <c r="E400" s="19"/>
    </row>
    <row r="401" spans="4:5" ht="12.75">
      <c r="D401" s="19"/>
      <c r="E401" s="19"/>
    </row>
    <row r="402" spans="4:5" ht="12.75">
      <c r="D402" s="19"/>
      <c r="E402" s="19"/>
    </row>
    <row r="403" spans="4:5" ht="12.75">
      <c r="D403" s="19"/>
      <c r="E403" s="19"/>
    </row>
    <row r="404" spans="4:5" ht="12.75">
      <c r="D404" s="19"/>
      <c r="E404" s="19"/>
    </row>
    <row r="405" spans="4:5" ht="12.75">
      <c r="D405" s="19"/>
      <c r="E405" s="19"/>
    </row>
    <row r="406" spans="4:5" ht="12.75">
      <c r="D406" s="19"/>
      <c r="E406" s="19"/>
    </row>
    <row r="407" spans="4:5" ht="12.75">
      <c r="D407" s="19"/>
      <c r="E407" s="19"/>
    </row>
    <row r="408" spans="4:5" ht="12.75">
      <c r="D408" s="19"/>
      <c r="E408" s="19"/>
    </row>
    <row r="409" spans="4:5" ht="12.75">
      <c r="D409" s="19"/>
      <c r="E409" s="19"/>
    </row>
    <row r="410" spans="4:5" ht="12.75">
      <c r="D410" s="19"/>
      <c r="E410" s="19"/>
    </row>
    <row r="411" spans="4:5" ht="12.75">
      <c r="D411" s="19"/>
      <c r="E411" s="19"/>
    </row>
    <row r="412" spans="4:5" ht="12.75">
      <c r="D412" s="19"/>
      <c r="E412" s="19"/>
    </row>
    <row r="413" spans="4:5" ht="12.75">
      <c r="D413" s="19"/>
      <c r="E413" s="19"/>
    </row>
    <row r="414" spans="4:5" ht="12.75">
      <c r="D414" s="19"/>
      <c r="E414" s="19"/>
    </row>
    <row r="415" spans="4:5" ht="12.75">
      <c r="D415" s="19"/>
      <c r="E415" s="19"/>
    </row>
    <row r="416" spans="4:5" ht="12.75">
      <c r="D416" s="19"/>
      <c r="E416" s="19"/>
    </row>
    <row r="417" spans="4:5" ht="12.75">
      <c r="D417" s="19"/>
      <c r="E417" s="19"/>
    </row>
    <row r="418" spans="4:5" ht="12.75">
      <c r="D418" s="19"/>
      <c r="E418" s="19"/>
    </row>
    <row r="419" spans="4:5" ht="12.75">
      <c r="D419" s="19"/>
      <c r="E419" s="19"/>
    </row>
    <row r="420" spans="4:5" ht="12.75">
      <c r="D420" s="19"/>
      <c r="E420" s="19"/>
    </row>
    <row r="421" spans="4:5" ht="12.75">
      <c r="D421" s="19"/>
      <c r="E421" s="19"/>
    </row>
    <row r="422" spans="4:5" ht="12.75">
      <c r="D422" s="19"/>
      <c r="E422" s="19"/>
    </row>
    <row r="423" spans="4:5" ht="12.75">
      <c r="D423" s="19"/>
      <c r="E423" s="19"/>
    </row>
    <row r="424" spans="4:5" ht="12.75">
      <c r="D424" s="19"/>
      <c r="E424" s="19"/>
    </row>
    <row r="425" spans="4:5" ht="12.75">
      <c r="D425" s="19"/>
      <c r="E425" s="19"/>
    </row>
    <row r="426" spans="4:5" ht="12.75">
      <c r="D426" s="19"/>
      <c r="E426" s="19"/>
    </row>
    <row r="427" spans="4:5" ht="12.75">
      <c r="D427" s="19"/>
      <c r="E427" s="19"/>
    </row>
    <row r="428" spans="4:5" ht="12.75">
      <c r="D428" s="19"/>
      <c r="E428" s="19"/>
    </row>
    <row r="429" spans="4:5" ht="12.75">
      <c r="D429" s="19"/>
      <c r="E429" s="19"/>
    </row>
    <row r="430" spans="4:5" ht="12.75">
      <c r="D430" s="19"/>
      <c r="E430" s="19"/>
    </row>
    <row r="431" spans="4:5" ht="12.75">
      <c r="D431" s="19"/>
      <c r="E431" s="19"/>
    </row>
    <row r="432" spans="4:5" ht="12.75">
      <c r="D432" s="19"/>
      <c r="E432" s="19"/>
    </row>
    <row r="433" spans="4:5" ht="12.75">
      <c r="D433" s="19"/>
      <c r="E433" s="19"/>
    </row>
    <row r="434" spans="4:5" ht="12.75">
      <c r="D434" s="19"/>
      <c r="E434" s="19"/>
    </row>
    <row r="435" spans="4:5" ht="12.75">
      <c r="D435" s="19"/>
      <c r="E435" s="19"/>
    </row>
    <row r="436" spans="4:5" ht="12.75">
      <c r="D436" s="19"/>
      <c r="E436" s="19"/>
    </row>
    <row r="437" spans="4:5" ht="12.75">
      <c r="D437" s="19"/>
      <c r="E437" s="19"/>
    </row>
    <row r="438" spans="4:5" ht="12.75">
      <c r="D438" s="19"/>
      <c r="E438" s="19"/>
    </row>
    <row r="439" spans="4:5" ht="12.75">
      <c r="D439" s="19"/>
      <c r="E439" s="19"/>
    </row>
    <row r="440" spans="4:5" ht="12.75">
      <c r="D440" s="19"/>
      <c r="E440" s="19"/>
    </row>
    <row r="441" spans="4:5" ht="12.75">
      <c r="D441" s="19"/>
      <c r="E441" s="19"/>
    </row>
    <row r="442" spans="4:5" ht="12.75">
      <c r="D442" s="19"/>
      <c r="E442" s="19"/>
    </row>
    <row r="443" spans="4:5" ht="12.75">
      <c r="D443" s="19"/>
      <c r="E443" s="19"/>
    </row>
    <row r="444" spans="4:5" ht="12.75">
      <c r="D444" s="19"/>
      <c r="E444" s="19"/>
    </row>
    <row r="445" spans="4:5" ht="12.75">
      <c r="D445" s="19"/>
      <c r="E445" s="19"/>
    </row>
    <row r="446" spans="4:5" ht="12.75">
      <c r="D446" s="19"/>
      <c r="E446" s="19"/>
    </row>
    <row r="447" spans="4:5" ht="12.75">
      <c r="D447" s="19"/>
      <c r="E447" s="19"/>
    </row>
    <row r="448" spans="4:5" ht="12.75">
      <c r="D448" s="19"/>
      <c r="E448" s="19"/>
    </row>
    <row r="449" spans="4:5" ht="12.75">
      <c r="D449" s="19"/>
      <c r="E449" s="19"/>
    </row>
    <row r="450" spans="4:5" ht="12.75">
      <c r="D450" s="19"/>
      <c r="E450" s="19"/>
    </row>
    <row r="451" spans="4:5" ht="12.75">
      <c r="D451" s="19"/>
      <c r="E451" s="19"/>
    </row>
    <row r="452" spans="4:5" ht="12.75">
      <c r="D452" s="19"/>
      <c r="E452" s="19"/>
    </row>
    <row r="453" spans="4:5" ht="12.75">
      <c r="D453" s="19"/>
      <c r="E453" s="19"/>
    </row>
    <row r="454" spans="4:5" ht="12.75">
      <c r="D454" s="19"/>
      <c r="E454" s="19"/>
    </row>
    <row r="455" spans="4:5" ht="12.75">
      <c r="D455" s="19"/>
      <c r="E455" s="19"/>
    </row>
    <row r="456" spans="4:5" ht="12.75">
      <c r="D456" s="19"/>
      <c r="E456" s="19"/>
    </row>
    <row r="457" spans="4:5" ht="12.75">
      <c r="D457" s="19"/>
      <c r="E457" s="19"/>
    </row>
    <row r="458" spans="4:5" ht="12.75">
      <c r="D458" s="19"/>
      <c r="E458" s="19"/>
    </row>
    <row r="459" spans="4:5" ht="12.75">
      <c r="D459" s="19"/>
      <c r="E459" s="19"/>
    </row>
    <row r="460" spans="4:5" ht="12.75">
      <c r="D460" s="19"/>
      <c r="E460" s="19"/>
    </row>
    <row r="461" spans="4:5" ht="12.75">
      <c r="D461" s="19"/>
      <c r="E461" s="19"/>
    </row>
    <row r="462" spans="4:5" ht="12.75">
      <c r="D462" s="19"/>
      <c r="E462" s="19"/>
    </row>
    <row r="463" spans="4:5" ht="12.75">
      <c r="D463" s="19"/>
      <c r="E463" s="19"/>
    </row>
    <row r="464" spans="4:5" ht="12.75">
      <c r="D464" s="19"/>
      <c r="E464" s="19"/>
    </row>
    <row r="465" spans="4:5" ht="12.75">
      <c r="D465" s="19"/>
      <c r="E465" s="19"/>
    </row>
    <row r="466" spans="4:5" ht="12.75">
      <c r="D466" s="19"/>
      <c r="E466" s="19"/>
    </row>
    <row r="467" spans="4:5" ht="12.75">
      <c r="D467" s="19"/>
      <c r="E467" s="19"/>
    </row>
    <row r="468" spans="4:5" ht="12.75">
      <c r="D468" s="19"/>
      <c r="E468" s="19"/>
    </row>
    <row r="469" spans="4:5" ht="12.75">
      <c r="D469" s="19"/>
      <c r="E469" s="19"/>
    </row>
    <row r="470" spans="4:5" ht="12.75">
      <c r="D470" s="19"/>
      <c r="E470" s="19"/>
    </row>
    <row r="471" spans="4:5" ht="12.75">
      <c r="D471" s="19"/>
      <c r="E471" s="19"/>
    </row>
    <row r="472" spans="4:5" ht="12.75">
      <c r="D472" s="19"/>
      <c r="E472" s="19"/>
    </row>
    <row r="473" spans="4:5" ht="12.75">
      <c r="D473" s="19"/>
      <c r="E473" s="19"/>
    </row>
    <row r="474" spans="4:5" ht="12.75">
      <c r="D474" s="19"/>
      <c r="E474" s="19"/>
    </row>
    <row r="475" spans="4:5" ht="12.75">
      <c r="D475" s="19"/>
      <c r="E475" s="19"/>
    </row>
    <row r="476" spans="4:5" ht="12.75">
      <c r="D476" s="19"/>
      <c r="E476" s="19"/>
    </row>
    <row r="477" spans="4:5" ht="12.75">
      <c r="D477" s="19"/>
      <c r="E477" s="19"/>
    </row>
    <row r="478" spans="4:5" ht="12.75">
      <c r="D478" s="19"/>
      <c r="E478" s="19"/>
    </row>
    <row r="479" spans="4:5" ht="12.75">
      <c r="D479" s="19"/>
      <c r="E479" s="19"/>
    </row>
    <row r="480" spans="4:5" ht="12.75">
      <c r="D480" s="19"/>
      <c r="E480" s="19"/>
    </row>
    <row r="481" spans="4:5" ht="12.75">
      <c r="D481" s="19"/>
      <c r="E481" s="19"/>
    </row>
    <row r="482" spans="4:5" ht="12.75">
      <c r="D482" s="19"/>
      <c r="E482" s="19"/>
    </row>
    <row r="483" spans="4:5" ht="12.75">
      <c r="D483" s="19"/>
      <c r="E483" s="19"/>
    </row>
    <row r="484" spans="4:5" ht="12.75">
      <c r="D484" s="19"/>
      <c r="E484" s="19"/>
    </row>
    <row r="485" spans="4:5" ht="12.75">
      <c r="D485" s="19"/>
      <c r="E485" s="19"/>
    </row>
    <row r="486" spans="4:5" ht="12.75">
      <c r="D486" s="19"/>
      <c r="E486" s="19"/>
    </row>
    <row r="487" spans="4:5" ht="12.75">
      <c r="D487" s="19"/>
      <c r="E487" s="19"/>
    </row>
    <row r="488" spans="4:5" ht="12.75">
      <c r="D488" s="19"/>
      <c r="E488" s="19"/>
    </row>
    <row r="489" spans="4:5" ht="12.75">
      <c r="D489" s="19"/>
      <c r="E489" s="19"/>
    </row>
    <row r="490" spans="4:5" ht="12.75">
      <c r="D490" s="19"/>
      <c r="E490" s="19"/>
    </row>
    <row r="491" spans="4:5" ht="12.75">
      <c r="D491" s="19"/>
      <c r="E491" s="19"/>
    </row>
    <row r="492" spans="4:5" ht="12.75">
      <c r="D492" s="19"/>
      <c r="E492" s="19"/>
    </row>
    <row r="493" spans="4:5" ht="12.75">
      <c r="D493" s="19"/>
      <c r="E493" s="19"/>
    </row>
    <row r="494" spans="4:5" ht="12.75">
      <c r="D494" s="19"/>
      <c r="E494" s="19"/>
    </row>
    <row r="495" spans="4:5" ht="12.75">
      <c r="D495" s="19"/>
      <c r="E495" s="19"/>
    </row>
    <row r="496" spans="4:5" ht="12.75">
      <c r="D496" s="19"/>
      <c r="E496" s="19"/>
    </row>
    <row r="497" spans="4:5" ht="12.75">
      <c r="D497" s="19"/>
      <c r="E497" s="19"/>
    </row>
    <row r="498" spans="4:5" ht="12.75">
      <c r="D498" s="19"/>
      <c r="E498" s="19"/>
    </row>
    <row r="499" spans="4:5" ht="12.75">
      <c r="D499" s="19"/>
      <c r="E499" s="19"/>
    </row>
    <row r="500" spans="4:5" ht="12.75">
      <c r="D500" s="19"/>
      <c r="E500" s="19"/>
    </row>
    <row r="501" spans="4:5" ht="12.75">
      <c r="D501" s="19"/>
      <c r="E501" s="19"/>
    </row>
    <row r="502" spans="4:5" ht="12.75">
      <c r="D502" s="19"/>
      <c r="E502" s="19"/>
    </row>
    <row r="503" spans="4:5" ht="12.75">
      <c r="D503" s="19"/>
      <c r="E503" s="19"/>
    </row>
    <row r="504" spans="4:5" ht="12.75">
      <c r="D504" s="19"/>
      <c r="E504" s="19"/>
    </row>
    <row r="505" spans="4:5" ht="12.75">
      <c r="D505" s="19"/>
      <c r="E505" s="19"/>
    </row>
    <row r="506" spans="4:5" ht="12.75">
      <c r="D506" s="19"/>
      <c r="E506" s="19"/>
    </row>
    <row r="507" spans="4:5" ht="12.75">
      <c r="D507" s="19"/>
      <c r="E507" s="19"/>
    </row>
    <row r="508" spans="4:5" ht="12.75">
      <c r="D508" s="19"/>
      <c r="E508" s="19"/>
    </row>
    <row r="509" spans="4:5" ht="12.75">
      <c r="D509" s="19"/>
      <c r="E509" s="19"/>
    </row>
    <row r="510" spans="4:5" ht="12.75">
      <c r="D510" s="19"/>
      <c r="E510" s="19"/>
    </row>
    <row r="511" spans="4:5" ht="12.75">
      <c r="D511" s="19"/>
      <c r="E511" s="19"/>
    </row>
    <row r="512" spans="4:5" ht="12.75">
      <c r="D512" s="19"/>
      <c r="E512" s="19"/>
    </row>
    <row r="513" spans="4:5" ht="12.75">
      <c r="D513" s="19"/>
      <c r="E513" s="19"/>
    </row>
    <row r="514" spans="4:5" ht="12.75">
      <c r="D514" s="19"/>
      <c r="E514" s="19"/>
    </row>
    <row r="515" spans="4:5" ht="12.75">
      <c r="D515" s="19"/>
      <c r="E515" s="19"/>
    </row>
    <row r="516" spans="4:5" ht="12.75">
      <c r="D516" s="19"/>
      <c r="E516" s="19"/>
    </row>
    <row r="517" spans="4:5" ht="12.75">
      <c r="D517" s="19"/>
      <c r="E517" s="19"/>
    </row>
    <row r="518" spans="4:5" ht="12.75">
      <c r="D518" s="19"/>
      <c r="E518" s="19"/>
    </row>
    <row r="519" spans="4:5" ht="12.75">
      <c r="D519" s="19"/>
      <c r="E519" s="19"/>
    </row>
    <row r="520" spans="4:5" ht="12.75">
      <c r="D520" s="19"/>
      <c r="E520" s="19"/>
    </row>
    <row r="521" spans="4:5" ht="12.75">
      <c r="D521" s="19"/>
      <c r="E521" s="19"/>
    </row>
    <row r="522" spans="4:5" ht="12.75">
      <c r="D522" s="19"/>
      <c r="E522" s="19"/>
    </row>
    <row r="523" spans="4:5" ht="12.75">
      <c r="D523" s="19"/>
      <c r="E523" s="19"/>
    </row>
    <row r="524" spans="4:5" ht="12.75">
      <c r="D524" s="19"/>
      <c r="E524" s="19"/>
    </row>
    <row r="525" spans="4:5" ht="12.75">
      <c r="D525" s="19"/>
      <c r="E525" s="19"/>
    </row>
    <row r="526" spans="4:5" ht="12.75">
      <c r="D526" s="19"/>
      <c r="E526" s="19"/>
    </row>
    <row r="527" spans="4:5" ht="12.75">
      <c r="D527" s="19"/>
      <c r="E527" s="19"/>
    </row>
    <row r="528" spans="4:5" ht="12.75">
      <c r="D528" s="19"/>
      <c r="E528" s="19"/>
    </row>
    <row r="529" spans="4:5" ht="12.75">
      <c r="D529" s="19"/>
      <c r="E529" s="19"/>
    </row>
    <row r="530" spans="4:5" ht="12.75">
      <c r="D530" s="19"/>
      <c r="E530" s="19"/>
    </row>
    <row r="531" spans="4:5" ht="12.75">
      <c r="D531" s="19"/>
      <c r="E531" s="19"/>
    </row>
    <row r="532" spans="4:5" ht="12.75">
      <c r="D532" s="19"/>
      <c r="E532" s="19"/>
    </row>
    <row r="533" spans="4:5" ht="12.75">
      <c r="D533" s="19"/>
      <c r="E533" s="19"/>
    </row>
    <row r="534" spans="4:5" ht="12.75">
      <c r="D534" s="19"/>
      <c r="E534" s="19"/>
    </row>
    <row r="535" spans="4:5" ht="12.75">
      <c r="D535" s="19"/>
      <c r="E535" s="19"/>
    </row>
    <row r="536" spans="4:5" ht="12.75">
      <c r="D536" s="19"/>
      <c r="E536" s="19"/>
    </row>
    <row r="537" spans="4:5" ht="12.75">
      <c r="D537" s="19"/>
      <c r="E537" s="19"/>
    </row>
    <row r="538" spans="4:5" ht="12.75">
      <c r="D538" s="19"/>
      <c r="E538" s="19"/>
    </row>
    <row r="539" spans="4:5" ht="12.75">
      <c r="D539" s="19"/>
      <c r="E539" s="19"/>
    </row>
    <row r="540" spans="4:5" ht="12.75">
      <c r="D540" s="19"/>
      <c r="E540" s="19"/>
    </row>
    <row r="541" spans="4:5" ht="12.75">
      <c r="D541" s="19"/>
      <c r="E541" s="19"/>
    </row>
    <row r="542" spans="4:5" ht="12.75">
      <c r="D542" s="19"/>
      <c r="E542" s="19"/>
    </row>
    <row r="543" spans="4:5" ht="12.75">
      <c r="D543" s="19"/>
      <c r="E543" s="19"/>
    </row>
    <row r="544" spans="4:5" ht="12.75">
      <c r="D544" s="19"/>
      <c r="E544" s="19"/>
    </row>
    <row r="545" spans="4:5" ht="12.75">
      <c r="D545" s="19"/>
      <c r="E545" s="19"/>
    </row>
    <row r="546" spans="4:5" ht="12.75">
      <c r="D546" s="19"/>
      <c r="E546" s="19"/>
    </row>
    <row r="547" spans="4:5" ht="12.75">
      <c r="D547" s="19"/>
      <c r="E547" s="19"/>
    </row>
    <row r="548" spans="4:5" ht="12.75">
      <c r="D548" s="19"/>
      <c r="E548" s="19"/>
    </row>
    <row r="549" spans="4:5" ht="12.75">
      <c r="D549" s="19"/>
      <c r="E549" s="19"/>
    </row>
    <row r="550" spans="4:5" ht="12.75">
      <c r="D550" s="19"/>
      <c r="E550" s="19"/>
    </row>
    <row r="551" spans="4:5" ht="12.75">
      <c r="D551" s="19"/>
      <c r="E551" s="19"/>
    </row>
    <row r="552" spans="4:5" ht="12.75">
      <c r="D552" s="19"/>
      <c r="E552" s="19"/>
    </row>
    <row r="553" spans="4:5" ht="12.75">
      <c r="D553" s="19"/>
      <c r="E553" s="19"/>
    </row>
    <row r="554" spans="4:5" ht="12.75">
      <c r="D554" s="19"/>
      <c r="E554" s="19"/>
    </row>
    <row r="555" spans="4:5" ht="12.75">
      <c r="D555" s="19"/>
      <c r="E555" s="19"/>
    </row>
    <row r="556" spans="4:5" ht="12.75">
      <c r="D556" s="19"/>
      <c r="E556" s="19"/>
    </row>
    <row r="557" spans="4:5" ht="12.75">
      <c r="D557" s="19"/>
      <c r="E557" s="19"/>
    </row>
    <row r="558" spans="4:5" ht="12.75">
      <c r="D558" s="19"/>
      <c r="E558" s="19"/>
    </row>
    <row r="559" spans="4:5" ht="12.75">
      <c r="D559" s="19"/>
      <c r="E559" s="19"/>
    </row>
    <row r="560" spans="4:5" ht="12.75">
      <c r="D560" s="19"/>
      <c r="E560" s="19"/>
    </row>
    <row r="561" spans="4:5" ht="12.75">
      <c r="D561" s="19"/>
      <c r="E561" s="19"/>
    </row>
    <row r="562" spans="4:5" ht="12.75">
      <c r="D562" s="19"/>
      <c r="E562" s="19"/>
    </row>
    <row r="563" spans="4:5" ht="12.75">
      <c r="D563" s="19"/>
      <c r="E563" s="19"/>
    </row>
    <row r="564" spans="4:5" ht="12.75">
      <c r="D564" s="19"/>
      <c r="E564" s="19"/>
    </row>
    <row r="565" spans="4:5" ht="12.75">
      <c r="D565" s="19"/>
      <c r="E565" s="19"/>
    </row>
    <row r="566" spans="4:5" ht="12.75">
      <c r="D566" s="19"/>
      <c r="E566" s="19"/>
    </row>
    <row r="567" spans="4:5" ht="12.75">
      <c r="D567" s="19"/>
      <c r="E567" s="19"/>
    </row>
    <row r="568" spans="4:5" ht="12.75">
      <c r="D568" s="19"/>
      <c r="E568" s="19"/>
    </row>
    <row r="569" spans="4:5" ht="12.75">
      <c r="D569" s="19"/>
      <c r="E569" s="19"/>
    </row>
    <row r="570" spans="4:5" ht="12.75">
      <c r="D570" s="19"/>
      <c r="E570" s="19"/>
    </row>
    <row r="571" spans="4:5" ht="12.75">
      <c r="D571" s="19"/>
      <c r="E571" s="19"/>
    </row>
    <row r="572" spans="4:5" ht="12.75">
      <c r="D572" s="19"/>
      <c r="E572" s="19"/>
    </row>
    <row r="573" spans="4:5" ht="12.75">
      <c r="D573" s="19"/>
      <c r="E573" s="19"/>
    </row>
    <row r="574" spans="4:5" ht="12.75">
      <c r="D574" s="19"/>
      <c r="E574" s="19"/>
    </row>
    <row r="575" spans="4:5" ht="12.75">
      <c r="D575" s="19"/>
      <c r="E575" s="19"/>
    </row>
    <row r="576" spans="4:5" ht="12.75">
      <c r="D576" s="19"/>
      <c r="E576" s="19"/>
    </row>
    <row r="577" spans="4:5" ht="12.75">
      <c r="D577" s="19"/>
      <c r="E577" s="19"/>
    </row>
    <row r="578" spans="4:5" ht="12.75">
      <c r="D578" s="19"/>
      <c r="E578" s="19"/>
    </row>
    <row r="579" spans="4:5" ht="12.75">
      <c r="D579" s="19"/>
      <c r="E579" s="19"/>
    </row>
    <row r="580" spans="4:5" ht="12.75">
      <c r="D580" s="19"/>
      <c r="E580" s="19"/>
    </row>
    <row r="581" spans="4:5" ht="12.75">
      <c r="D581" s="19"/>
      <c r="E581" s="19"/>
    </row>
    <row r="582" spans="4:5" ht="12.75">
      <c r="D582" s="19"/>
      <c r="E582" s="19"/>
    </row>
    <row r="583" spans="4:5" ht="12.75">
      <c r="D583" s="19"/>
      <c r="E583" s="19"/>
    </row>
    <row r="584" spans="4:5" ht="12.75">
      <c r="D584" s="19"/>
      <c r="E584" s="19"/>
    </row>
    <row r="585" spans="4:5" ht="12.75">
      <c r="D585" s="19"/>
      <c r="E585" s="19"/>
    </row>
    <row r="586" spans="4:5" ht="12.75">
      <c r="D586" s="19"/>
      <c r="E586" s="19"/>
    </row>
    <row r="587" spans="4:5" ht="12.75">
      <c r="D587" s="19"/>
      <c r="E587" s="19"/>
    </row>
    <row r="588" spans="4:5" ht="12.75">
      <c r="D588" s="19"/>
      <c r="E588" s="19"/>
    </row>
    <row r="589" spans="4:5" ht="12.75">
      <c r="D589" s="19"/>
      <c r="E589" s="19"/>
    </row>
    <row r="590" spans="4:5" ht="12.75">
      <c r="D590" s="19"/>
      <c r="E590" s="19"/>
    </row>
    <row r="591" spans="4:5" ht="12.75">
      <c r="D591" s="19"/>
      <c r="E591" s="19"/>
    </row>
    <row r="592" spans="4:5" ht="12.75">
      <c r="D592" s="19"/>
      <c r="E592" s="19"/>
    </row>
    <row r="593" spans="4:5" ht="12.75">
      <c r="D593" s="19"/>
      <c r="E593" s="19"/>
    </row>
    <row r="594" spans="4:5" ht="12.75">
      <c r="D594" s="19"/>
      <c r="E594" s="19"/>
    </row>
    <row r="595" spans="4:5" ht="12.75">
      <c r="D595" s="19"/>
      <c r="E595" s="19"/>
    </row>
    <row r="596" spans="4:5" ht="12.75">
      <c r="D596" s="19"/>
      <c r="E596" s="19"/>
    </row>
    <row r="597" spans="4:5" ht="12.75">
      <c r="D597" s="19"/>
      <c r="E597" s="19"/>
    </row>
    <row r="598" spans="4:5" ht="12.75">
      <c r="D598" s="19"/>
      <c r="E598" s="19"/>
    </row>
    <row r="599" spans="4:5" ht="12.75">
      <c r="D599" s="19"/>
      <c r="E599" s="19"/>
    </row>
    <row r="600" spans="4:5" ht="12.75">
      <c r="D600" s="19"/>
      <c r="E600" s="19"/>
    </row>
    <row r="601" spans="4:5" ht="12.75">
      <c r="D601" s="19"/>
      <c r="E601" s="19"/>
    </row>
    <row r="602" spans="4:5" ht="12.75">
      <c r="D602" s="19"/>
      <c r="E602" s="19"/>
    </row>
    <row r="603" spans="4:5" ht="12.75">
      <c r="D603" s="19"/>
      <c r="E603" s="19"/>
    </row>
    <row r="604" spans="4:5" ht="12.75">
      <c r="D604" s="19"/>
      <c r="E604" s="19"/>
    </row>
    <row r="605" spans="4:5" ht="12.75">
      <c r="D605" s="19"/>
      <c r="E605" s="19"/>
    </row>
    <row r="606" spans="4:5" ht="12.75">
      <c r="D606" s="19"/>
      <c r="E606" s="19"/>
    </row>
    <row r="607" spans="4:5" ht="12.75">
      <c r="D607" s="19"/>
      <c r="E607" s="19"/>
    </row>
    <row r="608" spans="4:5" ht="12.75">
      <c r="D608" s="19"/>
      <c r="E608" s="19"/>
    </row>
    <row r="609" spans="4:5" ht="12.75">
      <c r="D609" s="19"/>
      <c r="E609" s="19"/>
    </row>
    <row r="610" spans="4:5" ht="12.75">
      <c r="D610" s="19"/>
      <c r="E610" s="19"/>
    </row>
    <row r="611" spans="4:5" ht="12.75">
      <c r="D611" s="19"/>
      <c r="E611" s="19"/>
    </row>
    <row r="612" spans="4:5" ht="12.75">
      <c r="D612" s="19"/>
      <c r="E612" s="19"/>
    </row>
    <row r="613" spans="4:5" ht="12.75">
      <c r="D613" s="19"/>
      <c r="E613" s="19"/>
    </row>
    <row r="614" spans="4:5" ht="12.75">
      <c r="D614" s="19"/>
      <c r="E614" s="19"/>
    </row>
    <row r="615" spans="4:5" ht="12.75">
      <c r="D615" s="19"/>
      <c r="E615" s="19"/>
    </row>
    <row r="616" spans="4:5" ht="12.75">
      <c r="D616" s="19"/>
      <c r="E616" s="19"/>
    </row>
    <row r="617" spans="4:5" ht="12.75">
      <c r="D617" s="19"/>
      <c r="E617" s="19"/>
    </row>
    <row r="618" spans="4:5" ht="12.75">
      <c r="D618" s="19"/>
      <c r="E618" s="19"/>
    </row>
    <row r="619" spans="4:5" ht="12.75">
      <c r="D619" s="19"/>
      <c r="E619" s="19"/>
    </row>
    <row r="620" spans="4:5" ht="12.75">
      <c r="D620" s="19"/>
      <c r="E620" s="19"/>
    </row>
    <row r="621" spans="4:5" ht="12.75">
      <c r="D621" s="19"/>
      <c r="E621" s="19"/>
    </row>
    <row r="622" spans="4:5" ht="12.75">
      <c r="D622" s="19"/>
      <c r="E622" s="19"/>
    </row>
    <row r="623" spans="4:5" ht="12.75">
      <c r="D623" s="19"/>
      <c r="E623" s="19"/>
    </row>
    <row r="624" spans="4:5" ht="12.75">
      <c r="D624" s="19"/>
      <c r="E624" s="19"/>
    </row>
    <row r="625" spans="4:5" ht="12.75">
      <c r="D625" s="19"/>
      <c r="E625" s="19"/>
    </row>
    <row r="626" spans="4:5" ht="12.75">
      <c r="D626" s="19"/>
      <c r="E626" s="19"/>
    </row>
    <row r="627" spans="4:5" ht="12.75">
      <c r="D627" s="19"/>
      <c r="E627" s="19"/>
    </row>
    <row r="628" spans="4:5" ht="12.75">
      <c r="D628" s="19"/>
      <c r="E628" s="19"/>
    </row>
    <row r="629" spans="4:5" ht="12.75">
      <c r="D629" s="19"/>
      <c r="E629" s="19"/>
    </row>
    <row r="630" spans="4:5" ht="12.75">
      <c r="D630" s="19"/>
      <c r="E630" s="19"/>
    </row>
    <row r="631" spans="4:5" ht="12.75">
      <c r="D631" s="19"/>
      <c r="E631" s="19"/>
    </row>
    <row r="632" spans="4:5" ht="12.75">
      <c r="D632" s="19"/>
      <c r="E632" s="19"/>
    </row>
    <row r="633" spans="4:5" ht="12.75">
      <c r="D633" s="19"/>
      <c r="E633" s="19"/>
    </row>
    <row r="634" spans="4:5" ht="12.75">
      <c r="D634" s="19"/>
      <c r="E634" s="19"/>
    </row>
    <row r="635" spans="4:5" ht="12.75">
      <c r="D635" s="19"/>
      <c r="E635" s="19"/>
    </row>
    <row r="636" spans="4:5" ht="12.75">
      <c r="D636" s="19"/>
      <c r="E636" s="19"/>
    </row>
    <row r="637" spans="4:5" ht="12.75">
      <c r="D637" s="19"/>
      <c r="E637" s="19"/>
    </row>
    <row r="638" spans="4:5" ht="12.75">
      <c r="D638" s="19"/>
      <c r="E638" s="19"/>
    </row>
    <row r="639" spans="4:5" ht="12.75">
      <c r="D639" s="19"/>
      <c r="E639" s="19"/>
    </row>
    <row r="640" spans="4:5" ht="12.75">
      <c r="D640" s="19"/>
      <c r="E640" s="19"/>
    </row>
    <row r="641" spans="4:5" ht="12.75">
      <c r="D641" s="19"/>
      <c r="E641" s="19"/>
    </row>
    <row r="642" spans="4:5" ht="12.75">
      <c r="D642" s="19"/>
      <c r="E642" s="19"/>
    </row>
    <row r="643" spans="4:5" ht="12.75">
      <c r="D643" s="19"/>
      <c r="E643" s="19"/>
    </row>
    <row r="644" spans="4:5" ht="12.75">
      <c r="D644" s="19"/>
      <c r="E644" s="19"/>
    </row>
    <row r="645" spans="4:5" ht="12.75">
      <c r="D645" s="19"/>
      <c r="E645" s="19"/>
    </row>
    <row r="646" spans="4:5" ht="12.75">
      <c r="D646" s="19"/>
      <c r="E646" s="19"/>
    </row>
    <row r="647" spans="4:5" ht="12.75">
      <c r="D647" s="19"/>
      <c r="E647" s="19"/>
    </row>
    <row r="648" spans="4:5" ht="12.75">
      <c r="D648" s="19"/>
      <c r="E648" s="19"/>
    </row>
    <row r="649" spans="4:5" ht="12.75">
      <c r="D649" s="19"/>
      <c r="E649" s="19"/>
    </row>
    <row r="650" spans="4:5" ht="12.75">
      <c r="D650" s="19"/>
      <c r="E650" s="19"/>
    </row>
    <row r="651" spans="4:5" ht="12.75">
      <c r="D651" s="19"/>
      <c r="E651" s="19"/>
    </row>
    <row r="652" spans="4:5" ht="12.75">
      <c r="D652" s="19"/>
      <c r="E652" s="19"/>
    </row>
    <row r="653" spans="4:5" ht="12.75">
      <c r="D653" s="19"/>
      <c r="E653" s="19"/>
    </row>
    <row r="654" spans="4:5" ht="12.75">
      <c r="D654" s="19"/>
      <c r="E654" s="19"/>
    </row>
    <row r="655" spans="4:5" ht="12.75">
      <c r="D655" s="19"/>
      <c r="E655" s="19"/>
    </row>
    <row r="656" spans="4:5" ht="12.75">
      <c r="D656" s="19"/>
      <c r="E656" s="19"/>
    </row>
    <row r="657" spans="4:5" ht="12.75">
      <c r="D657" s="19"/>
      <c r="E657" s="19"/>
    </row>
    <row r="658" spans="4:5" ht="12.75">
      <c r="D658" s="19"/>
      <c r="E658" s="19"/>
    </row>
    <row r="659" spans="4:5" ht="12.75">
      <c r="D659" s="19"/>
      <c r="E659" s="19"/>
    </row>
    <row r="660" spans="4:5" ht="12.75">
      <c r="D660" s="19"/>
      <c r="E660" s="19"/>
    </row>
    <row r="661" spans="4:5" ht="12.75">
      <c r="D661" s="19"/>
      <c r="E661" s="19"/>
    </row>
    <row r="662" spans="4:5" ht="12.75">
      <c r="D662" s="19"/>
      <c r="E662" s="19"/>
    </row>
    <row r="663" spans="4:5" ht="12.75">
      <c r="D663" s="19"/>
      <c r="E663" s="19"/>
    </row>
    <row r="664" spans="4:5" ht="12.75">
      <c r="D664" s="19"/>
      <c r="E664" s="19"/>
    </row>
    <row r="665" spans="4:5" ht="12.75">
      <c r="D665" s="19"/>
      <c r="E665" s="19"/>
    </row>
    <row r="666" spans="4:5" ht="12.75">
      <c r="D666" s="19"/>
      <c r="E666" s="19"/>
    </row>
    <row r="667" spans="4:5" ht="12.75">
      <c r="D667" s="19"/>
      <c r="E667" s="19"/>
    </row>
    <row r="668" spans="4:5" ht="12.75">
      <c r="D668" s="19"/>
      <c r="E668" s="19"/>
    </row>
    <row r="669" spans="4:5" ht="12.75">
      <c r="D669" s="19"/>
      <c r="E669" s="19"/>
    </row>
    <row r="670" spans="4:5" ht="12.75">
      <c r="D670" s="19"/>
      <c r="E670" s="19"/>
    </row>
    <row r="671" spans="4:5" ht="12.75">
      <c r="D671" s="19"/>
      <c r="E671" s="19"/>
    </row>
    <row r="672" spans="4:5" ht="12.75">
      <c r="D672" s="19"/>
      <c r="E672" s="19"/>
    </row>
    <row r="673" spans="4:5" ht="12.75">
      <c r="D673" s="19"/>
      <c r="E673" s="19"/>
    </row>
    <row r="674" spans="4:5" ht="12.75">
      <c r="D674" s="19"/>
      <c r="E674" s="19"/>
    </row>
    <row r="675" spans="4:5" ht="12.75">
      <c r="D675" s="19"/>
      <c r="E675" s="19"/>
    </row>
    <row r="676" spans="4:5" ht="12.75">
      <c r="D676" s="19"/>
      <c r="E676" s="19"/>
    </row>
    <row r="677" spans="4:5" ht="12.75">
      <c r="D677" s="19"/>
      <c r="E677" s="19"/>
    </row>
    <row r="678" spans="4:5" ht="12.75">
      <c r="D678" s="19"/>
      <c r="E678" s="19"/>
    </row>
    <row r="679" spans="4:5" ht="12.75">
      <c r="D679" s="19"/>
      <c r="E679" s="19"/>
    </row>
    <row r="680" spans="4:5" ht="12.75">
      <c r="D680" s="19"/>
      <c r="E680" s="19"/>
    </row>
    <row r="681" spans="4:5" ht="12.75">
      <c r="D681" s="19"/>
      <c r="E681" s="19"/>
    </row>
    <row r="682" spans="4:5" ht="12.75">
      <c r="D682" s="19"/>
      <c r="E682" s="19"/>
    </row>
    <row r="683" spans="4:5" ht="12.75">
      <c r="D683" s="19"/>
      <c r="E683" s="19"/>
    </row>
    <row r="684" spans="4:5" ht="12.75">
      <c r="D684" s="19"/>
      <c r="E684" s="19"/>
    </row>
    <row r="685" spans="4:5" ht="12.75">
      <c r="D685" s="19"/>
      <c r="E685" s="19"/>
    </row>
    <row r="686" spans="4:5" ht="12.75">
      <c r="D686" s="19"/>
      <c r="E686" s="19"/>
    </row>
    <row r="687" spans="4:5" ht="12.75">
      <c r="D687" s="19"/>
      <c r="E687" s="19"/>
    </row>
    <row r="688" spans="4:5" ht="12.75">
      <c r="D688" s="19"/>
      <c r="E688" s="19"/>
    </row>
    <row r="689" spans="4:5" ht="12.75">
      <c r="D689" s="19"/>
      <c r="E689" s="19"/>
    </row>
    <row r="690" spans="4:5" ht="12.75">
      <c r="D690" s="19"/>
      <c r="E690" s="19"/>
    </row>
    <row r="691" spans="4:5" ht="12.75">
      <c r="D691" s="19"/>
      <c r="E691" s="19"/>
    </row>
    <row r="692" spans="4:5" ht="12.75">
      <c r="D692" s="19"/>
      <c r="E692" s="19"/>
    </row>
    <row r="693" spans="4:5" ht="12.75">
      <c r="D693" s="19"/>
      <c r="E693" s="19"/>
    </row>
    <row r="694" spans="4:5" ht="12.75">
      <c r="D694" s="19"/>
      <c r="E694" s="19"/>
    </row>
    <row r="695" spans="4:5" ht="12.75">
      <c r="D695" s="19"/>
      <c r="E695" s="19"/>
    </row>
    <row r="696" spans="4:5" ht="12.75">
      <c r="D696" s="19"/>
      <c r="E696" s="19"/>
    </row>
    <row r="697" spans="4:5" ht="12.75">
      <c r="D697" s="19"/>
      <c r="E697" s="19"/>
    </row>
    <row r="698" spans="4:5" ht="12.75">
      <c r="D698" s="19"/>
      <c r="E698" s="19"/>
    </row>
    <row r="699" spans="4:5" ht="12.75">
      <c r="D699" s="19"/>
      <c r="E699" s="19"/>
    </row>
    <row r="700" spans="4:5" ht="12.75">
      <c r="D700" s="19"/>
      <c r="E700" s="19"/>
    </row>
    <row r="701" spans="4:5" ht="12.75">
      <c r="D701" s="19"/>
      <c r="E701" s="19"/>
    </row>
    <row r="702" spans="4:5" ht="12.75">
      <c r="D702" s="19"/>
      <c r="E702" s="19"/>
    </row>
    <row r="703" spans="4:5" ht="12.75">
      <c r="D703" s="19"/>
      <c r="E703" s="19"/>
    </row>
    <row r="704" spans="4:5" ht="12.75">
      <c r="D704" s="19"/>
      <c r="E704" s="19"/>
    </row>
    <row r="705" spans="4:5" ht="12.75">
      <c r="D705" s="19"/>
      <c r="E705" s="19"/>
    </row>
    <row r="706" spans="4:5" ht="12.75">
      <c r="D706" s="19"/>
      <c r="E706" s="19"/>
    </row>
    <row r="707" spans="4:5" ht="12.75">
      <c r="D707" s="19"/>
      <c r="E707" s="19"/>
    </row>
    <row r="708" spans="4:5" ht="12.75">
      <c r="D708" s="19"/>
      <c r="E708" s="19"/>
    </row>
    <row r="709" spans="4:5" ht="12.75">
      <c r="D709" s="19"/>
      <c r="E709" s="19"/>
    </row>
    <row r="710" spans="4:5" ht="12.75">
      <c r="D710" s="19"/>
      <c r="E710" s="19"/>
    </row>
    <row r="711" spans="4:5" ht="12.75">
      <c r="D711" s="19"/>
      <c r="E711" s="19"/>
    </row>
    <row r="712" spans="4:5" ht="12.75">
      <c r="D712" s="19"/>
      <c r="E712" s="19"/>
    </row>
    <row r="713" spans="4:5" ht="12.75">
      <c r="D713" s="19"/>
      <c r="E713" s="19"/>
    </row>
    <row r="714" spans="4:5" ht="12.75">
      <c r="D714" s="19"/>
      <c r="E714" s="19"/>
    </row>
    <row r="715" spans="4:5" ht="12.75">
      <c r="D715" s="19"/>
      <c r="E715" s="19"/>
    </row>
    <row r="716" spans="4:5" ht="12.75">
      <c r="D716" s="19"/>
      <c r="E716" s="19"/>
    </row>
    <row r="717" spans="4:5" ht="12.75">
      <c r="D717" s="19"/>
      <c r="E717" s="19"/>
    </row>
    <row r="718" spans="4:5" ht="12.75">
      <c r="D718" s="19"/>
      <c r="E718" s="19"/>
    </row>
    <row r="719" spans="4:5" ht="12.75">
      <c r="D719" s="19"/>
      <c r="E719" s="19"/>
    </row>
    <row r="720" spans="4:5" ht="12.75">
      <c r="D720" s="19"/>
      <c r="E720" s="19"/>
    </row>
    <row r="721" spans="4:5" ht="12.75">
      <c r="D721" s="19"/>
      <c r="E721" s="19"/>
    </row>
    <row r="722" spans="4:5" ht="12.75">
      <c r="D722" s="19"/>
      <c r="E722" s="19"/>
    </row>
    <row r="723" spans="4:5" ht="12.75">
      <c r="D723" s="19"/>
      <c r="E723" s="19"/>
    </row>
    <row r="724" spans="4:5" ht="12.75">
      <c r="D724" s="19"/>
      <c r="E724" s="19"/>
    </row>
    <row r="725" spans="4:5" ht="12.75">
      <c r="D725" s="19"/>
      <c r="E725" s="19"/>
    </row>
    <row r="726" spans="4:5" ht="12.75">
      <c r="D726" s="19"/>
      <c r="E726" s="19"/>
    </row>
    <row r="727" spans="4:5" ht="12.75">
      <c r="D727" s="19"/>
      <c r="E727" s="19"/>
    </row>
    <row r="728" spans="4:5" ht="12.75">
      <c r="D728" s="19"/>
      <c r="E728" s="19"/>
    </row>
    <row r="729" spans="4:5" ht="12.75">
      <c r="D729" s="19"/>
      <c r="E729" s="19"/>
    </row>
    <row r="730" spans="4:5" ht="12.75">
      <c r="D730" s="19"/>
      <c r="E730" s="19"/>
    </row>
    <row r="731" spans="4:5" ht="12.75">
      <c r="D731" s="19"/>
      <c r="E731" s="19"/>
    </row>
    <row r="732" spans="4:5" ht="12.75">
      <c r="D732" s="19"/>
      <c r="E732" s="19"/>
    </row>
    <row r="733" spans="4:5" ht="12.75">
      <c r="D733" s="19"/>
      <c r="E733" s="19"/>
    </row>
    <row r="734" spans="4:5" ht="12.75">
      <c r="D734" s="19"/>
      <c r="E734" s="19"/>
    </row>
    <row r="735" spans="4:5" ht="12.75">
      <c r="D735" s="19"/>
      <c r="E735" s="19"/>
    </row>
    <row r="736" spans="4:5" ht="12.75">
      <c r="D736" s="19"/>
      <c r="E736" s="19"/>
    </row>
    <row r="737" spans="4:5" ht="12.75">
      <c r="D737" s="19"/>
      <c r="E737" s="19"/>
    </row>
    <row r="738" spans="4:5" ht="12.75">
      <c r="D738" s="19"/>
      <c r="E738" s="19"/>
    </row>
    <row r="739" spans="4:5" ht="12.75">
      <c r="D739" s="19"/>
      <c r="E739" s="19"/>
    </row>
    <row r="740" spans="4:5" ht="12.75">
      <c r="D740" s="19"/>
      <c r="E740" s="19"/>
    </row>
    <row r="741" spans="4:5" ht="12.75">
      <c r="D741" s="19"/>
      <c r="E741" s="19"/>
    </row>
    <row r="742" spans="4:5" ht="12.75">
      <c r="D742" s="19"/>
      <c r="E742" s="19"/>
    </row>
    <row r="743" spans="4:5" ht="12.75">
      <c r="D743" s="19"/>
      <c r="E743" s="19"/>
    </row>
    <row r="744" spans="4:5" ht="12.75">
      <c r="D744" s="19"/>
      <c r="E744" s="19"/>
    </row>
    <row r="745" spans="4:5" ht="12.75">
      <c r="D745" s="19"/>
      <c r="E745" s="19"/>
    </row>
    <row r="746" spans="4:5" ht="12.75">
      <c r="D746" s="19"/>
      <c r="E746" s="19"/>
    </row>
    <row r="747" spans="4:5" ht="12.75">
      <c r="D747" s="19"/>
      <c r="E747" s="19"/>
    </row>
    <row r="748" spans="4:5" ht="12.75">
      <c r="D748" s="19"/>
      <c r="E748" s="19"/>
    </row>
    <row r="749" spans="4:5" ht="12.75">
      <c r="D749" s="19"/>
      <c r="E749" s="19"/>
    </row>
    <row r="750" spans="4:5" ht="12.75">
      <c r="D750" s="19"/>
      <c r="E750" s="19"/>
    </row>
    <row r="751" spans="4:5" ht="12.75">
      <c r="D751" s="19"/>
      <c r="E751" s="19"/>
    </row>
    <row r="752" spans="4:5" ht="12.75">
      <c r="D752" s="19"/>
      <c r="E752" s="19"/>
    </row>
    <row r="753" spans="4:5" ht="12.75">
      <c r="D753" s="19"/>
      <c r="E753" s="19"/>
    </row>
    <row r="754" spans="4:5" ht="12.75">
      <c r="D754" s="19"/>
      <c r="E754" s="19"/>
    </row>
    <row r="755" spans="4:5" ht="12.75">
      <c r="D755" s="19"/>
      <c r="E755" s="19"/>
    </row>
    <row r="756" spans="4:5" ht="12.75">
      <c r="D756" s="19"/>
      <c r="E756" s="19"/>
    </row>
    <row r="757" spans="4:5" ht="12.75">
      <c r="D757" s="19"/>
      <c r="E757" s="19"/>
    </row>
    <row r="758" spans="4:5" ht="12.75">
      <c r="D758" s="19"/>
      <c r="E758" s="19"/>
    </row>
    <row r="759" spans="4:5" ht="12.75">
      <c r="D759" s="19"/>
      <c r="E759" s="19"/>
    </row>
    <row r="760" spans="4:5" ht="12.75">
      <c r="D760" s="19"/>
      <c r="E760" s="19"/>
    </row>
    <row r="761" spans="4:5" ht="12.75">
      <c r="D761" s="19"/>
      <c r="E761" s="19"/>
    </row>
    <row r="762" spans="4:5" ht="12.75">
      <c r="D762" s="19"/>
      <c r="E762" s="19"/>
    </row>
    <row r="763" spans="4:5" ht="12.75">
      <c r="D763" s="19"/>
      <c r="E763" s="19"/>
    </row>
    <row r="764" spans="4:5" ht="12.75">
      <c r="D764" s="19"/>
      <c r="E764" s="19"/>
    </row>
    <row r="765" spans="4:5" ht="12.75">
      <c r="D765" s="19"/>
      <c r="E765" s="19"/>
    </row>
    <row r="766" spans="4:5" ht="12.75">
      <c r="D766" s="19"/>
      <c r="E766" s="19"/>
    </row>
    <row r="767" spans="4:5" ht="12.75">
      <c r="D767" s="19"/>
      <c r="E767" s="19"/>
    </row>
    <row r="768" spans="4:5" ht="12.75">
      <c r="D768" s="19"/>
      <c r="E768" s="19"/>
    </row>
    <row r="769" spans="4:5" ht="12.75">
      <c r="D769" s="19"/>
      <c r="E769" s="19"/>
    </row>
    <row r="770" spans="4:5" ht="12.75">
      <c r="D770" s="19"/>
      <c r="E770" s="19"/>
    </row>
    <row r="771" spans="4:5" ht="12.75">
      <c r="D771" s="19"/>
      <c r="E771" s="19"/>
    </row>
    <row r="772" spans="4:5" ht="12.75">
      <c r="D772" s="19"/>
      <c r="E772" s="19"/>
    </row>
    <row r="773" spans="4:5" ht="12.75">
      <c r="D773" s="19"/>
      <c r="E773" s="19"/>
    </row>
    <row r="774" spans="4:5" ht="12.75">
      <c r="D774" s="19"/>
      <c r="E774" s="19"/>
    </row>
    <row r="775" spans="4:5" ht="12.75">
      <c r="D775" s="19"/>
      <c r="E775" s="19"/>
    </row>
    <row r="776" spans="4:5" ht="12.75">
      <c r="D776" s="19"/>
      <c r="E776" s="19"/>
    </row>
    <row r="777" spans="4:5" ht="12.75">
      <c r="D777" s="19"/>
      <c r="E777" s="19"/>
    </row>
    <row r="778" spans="4:5" ht="12.75">
      <c r="D778" s="19"/>
      <c r="E778" s="19"/>
    </row>
    <row r="779" spans="4:5" ht="12.75">
      <c r="D779" s="19"/>
      <c r="E779" s="19"/>
    </row>
    <row r="780" spans="4:5" ht="12.75">
      <c r="D780" s="19"/>
      <c r="E780" s="19"/>
    </row>
    <row r="781" spans="4:5" ht="12.75">
      <c r="D781" s="19"/>
      <c r="E781" s="19"/>
    </row>
    <row r="782" spans="4:5" ht="12.75">
      <c r="D782" s="19"/>
      <c r="E782" s="19"/>
    </row>
    <row r="783" spans="4:5" ht="12.75">
      <c r="D783" s="19"/>
      <c r="E783" s="19"/>
    </row>
    <row r="784" spans="4:5" ht="12.75">
      <c r="D784" s="19"/>
      <c r="E784" s="19"/>
    </row>
    <row r="785" spans="4:5" ht="12.75">
      <c r="D785" s="19"/>
      <c r="E785" s="19"/>
    </row>
    <row r="786" spans="4:5" ht="12.75">
      <c r="D786" s="19"/>
      <c r="E786" s="19"/>
    </row>
    <row r="787" spans="4:5" ht="12.75">
      <c r="D787" s="19"/>
      <c r="E787" s="19"/>
    </row>
    <row r="788" spans="4:5" ht="12.75">
      <c r="D788" s="19"/>
      <c r="E788" s="19"/>
    </row>
    <row r="789" spans="4:5" ht="12.75">
      <c r="D789" s="19"/>
      <c r="E789" s="19"/>
    </row>
    <row r="790" spans="4:5" ht="12.75">
      <c r="D790" s="19"/>
      <c r="E790" s="19"/>
    </row>
    <row r="791" spans="4:5" ht="12.75">
      <c r="D791" s="19"/>
      <c r="E791" s="19"/>
    </row>
    <row r="792" spans="4:5" ht="12.75">
      <c r="D792" s="19"/>
      <c r="E792" s="19"/>
    </row>
    <row r="793" spans="4:5" ht="12.75">
      <c r="D793" s="19"/>
      <c r="E793" s="19"/>
    </row>
    <row r="794" spans="4:5" ht="12.75">
      <c r="D794" s="19"/>
      <c r="E794" s="19"/>
    </row>
    <row r="795" spans="4:5" ht="12.75">
      <c r="D795" s="19"/>
      <c r="E795" s="19"/>
    </row>
    <row r="796" spans="4:5" ht="12.75">
      <c r="D796" s="19"/>
      <c r="E796" s="19"/>
    </row>
    <row r="797" spans="4:5" ht="12.75">
      <c r="D797" s="19"/>
      <c r="E797" s="19"/>
    </row>
    <row r="798" spans="4:5" ht="12.75">
      <c r="D798" s="19"/>
      <c r="E798" s="19"/>
    </row>
    <row r="799" spans="4:5" ht="12.75">
      <c r="D799" s="19"/>
      <c r="E799" s="19"/>
    </row>
    <row r="800" spans="4:5" ht="12.75">
      <c r="D800" s="19"/>
      <c r="E800" s="19"/>
    </row>
    <row r="801" spans="4:5" ht="12.75">
      <c r="D801" s="19"/>
      <c r="E801" s="19"/>
    </row>
    <row r="802" spans="4:5" ht="12.75">
      <c r="D802" s="19"/>
      <c r="E802" s="19"/>
    </row>
    <row r="803" spans="4:5" ht="12.75">
      <c r="D803" s="19"/>
      <c r="E803" s="19"/>
    </row>
    <row r="804" spans="4:5" ht="12.75">
      <c r="D804" s="19"/>
      <c r="E804" s="19"/>
    </row>
    <row r="805" spans="4:5" ht="12.75">
      <c r="D805" s="19"/>
      <c r="E805" s="19"/>
    </row>
    <row r="806" spans="4:5" ht="12.75">
      <c r="D806" s="19"/>
      <c r="E806" s="19"/>
    </row>
    <row r="807" spans="4:5" ht="12.75">
      <c r="D807" s="19"/>
      <c r="E807" s="19"/>
    </row>
    <row r="808" spans="4:5" ht="12.75">
      <c r="D808" s="19"/>
      <c r="E808" s="19"/>
    </row>
    <row r="809" spans="4:5" ht="12.75">
      <c r="D809" s="19"/>
      <c r="E809" s="19"/>
    </row>
    <row r="810" spans="4:5" ht="12.75">
      <c r="D810" s="19"/>
      <c r="E810" s="19"/>
    </row>
    <row r="811" spans="4:5" ht="12.75">
      <c r="D811" s="19"/>
      <c r="E811" s="19"/>
    </row>
    <row r="812" spans="4:5" ht="12.75">
      <c r="D812" s="19"/>
      <c r="E812" s="19"/>
    </row>
    <row r="813" spans="4:5" ht="12.75">
      <c r="D813" s="19"/>
      <c r="E813" s="19"/>
    </row>
    <row r="814" spans="4:5" ht="12.75">
      <c r="D814" s="19"/>
      <c r="E814" s="19"/>
    </row>
    <row r="815" spans="4:5" ht="12.75">
      <c r="D815" s="19"/>
      <c r="E815" s="19"/>
    </row>
    <row r="816" spans="4:5" ht="12.75">
      <c r="D816" s="19"/>
      <c r="E816" s="19"/>
    </row>
    <row r="817" spans="4:5" ht="12.75">
      <c r="D817" s="19"/>
      <c r="E817" s="19"/>
    </row>
    <row r="818" spans="4:5" ht="12.75">
      <c r="D818" s="19"/>
      <c r="E818" s="19"/>
    </row>
    <row r="819" spans="4:5" ht="12.75">
      <c r="D819" s="19"/>
      <c r="E819" s="19"/>
    </row>
    <row r="820" spans="4:5" ht="12.75">
      <c r="D820" s="19"/>
      <c r="E820" s="19"/>
    </row>
    <row r="821" spans="4:5" ht="12.75">
      <c r="D821" s="19"/>
      <c r="E821" s="19"/>
    </row>
    <row r="822" spans="4:5" ht="12.75">
      <c r="D822" s="19"/>
      <c r="E822" s="19"/>
    </row>
    <row r="823" spans="4:5" ht="12.75">
      <c r="D823" s="19"/>
      <c r="E823" s="19"/>
    </row>
    <row r="824" spans="4:5" ht="12.75">
      <c r="D824" s="19"/>
      <c r="E824" s="19"/>
    </row>
    <row r="825" spans="4:5" ht="12.75">
      <c r="D825" s="19"/>
      <c r="E825" s="19"/>
    </row>
    <row r="826" spans="4:5" ht="12.75">
      <c r="D826" s="19"/>
      <c r="E826" s="19"/>
    </row>
    <row r="827" spans="4:5" ht="12.75">
      <c r="D827" s="19"/>
      <c r="E827" s="19"/>
    </row>
    <row r="828" spans="4:5" ht="12.75">
      <c r="D828" s="19"/>
      <c r="E828" s="19"/>
    </row>
    <row r="829" spans="4:5" ht="12.75">
      <c r="D829" s="19"/>
      <c r="E829" s="19"/>
    </row>
    <row r="830" spans="4:5" ht="12.75">
      <c r="D830" s="19"/>
      <c r="E830" s="19"/>
    </row>
    <row r="831" spans="4:5" ht="12.75">
      <c r="D831" s="19"/>
      <c r="E831" s="19"/>
    </row>
    <row r="832" spans="4:5" ht="12.75">
      <c r="D832" s="19"/>
      <c r="E832" s="19"/>
    </row>
    <row r="833" spans="4:5" ht="12.75">
      <c r="D833" s="19"/>
      <c r="E833" s="19"/>
    </row>
    <row r="834" spans="4:5" ht="12.75">
      <c r="D834" s="19"/>
      <c r="E834" s="19"/>
    </row>
    <row r="835" spans="4:5" ht="12.75">
      <c r="D835" s="19"/>
      <c r="E835" s="19"/>
    </row>
    <row r="836" spans="4:5" ht="12.75">
      <c r="D836" s="19"/>
      <c r="E836" s="19"/>
    </row>
    <row r="837" spans="4:5" ht="12.75">
      <c r="D837" s="19"/>
      <c r="E837" s="19"/>
    </row>
    <row r="838" spans="4:5" ht="12.75">
      <c r="D838" s="19"/>
      <c r="E838" s="19"/>
    </row>
    <row r="839" spans="4:5" ht="12.75">
      <c r="D839" s="19"/>
      <c r="E839" s="19"/>
    </row>
    <row r="840" spans="4:5" ht="12.75">
      <c r="D840" s="19"/>
      <c r="E840" s="19"/>
    </row>
    <row r="841" spans="4:5" ht="12.75">
      <c r="D841" s="19"/>
      <c r="E841" s="19"/>
    </row>
    <row r="842" spans="4:5" ht="12.75">
      <c r="D842" s="19"/>
      <c r="E842" s="19"/>
    </row>
    <row r="843" spans="4:5" ht="12.75">
      <c r="D843" s="19"/>
      <c r="E843" s="19"/>
    </row>
    <row r="844" spans="4:5" ht="12.75">
      <c r="D844" s="19"/>
      <c r="E844" s="19"/>
    </row>
    <row r="845" spans="4:5" ht="12.75">
      <c r="D845" s="19"/>
      <c r="E845" s="19"/>
    </row>
    <row r="846" spans="4:5" ht="12.75">
      <c r="D846" s="19"/>
      <c r="E846" s="19"/>
    </row>
    <row r="847" spans="4:5" ht="12.75">
      <c r="D847" s="19"/>
      <c r="E847" s="19"/>
    </row>
    <row r="848" spans="4:5" ht="12.75">
      <c r="D848" s="19"/>
      <c r="E848" s="19"/>
    </row>
    <row r="849" spans="4:5" ht="12.75">
      <c r="D849" s="19"/>
      <c r="E849" s="19"/>
    </row>
    <row r="850" spans="4:5" ht="12.75">
      <c r="D850" s="19"/>
      <c r="E850" s="19"/>
    </row>
    <row r="851" spans="4:5" ht="12.75">
      <c r="D851" s="19"/>
      <c r="E851" s="19"/>
    </row>
    <row r="852" spans="4:5" ht="12.75">
      <c r="D852" s="19"/>
      <c r="E852" s="19"/>
    </row>
    <row r="853" spans="4:5" ht="12.75">
      <c r="D853" s="19"/>
      <c r="E853" s="19"/>
    </row>
    <row r="854" spans="4:5" ht="12.75">
      <c r="D854" s="19"/>
      <c r="E854" s="19"/>
    </row>
    <row r="855" spans="4:5" ht="12.75">
      <c r="D855" s="19"/>
      <c r="E855" s="19"/>
    </row>
    <row r="856" spans="4:5" ht="12.75">
      <c r="D856" s="19"/>
      <c r="E856" s="19"/>
    </row>
    <row r="857" spans="4:5" ht="12.75">
      <c r="D857" s="19"/>
      <c r="E857" s="19"/>
    </row>
    <row r="858" spans="4:5" ht="12.75">
      <c r="D858" s="19"/>
      <c r="E858" s="19"/>
    </row>
    <row r="859" spans="4:5" ht="12.75">
      <c r="D859" s="19"/>
      <c r="E859" s="19"/>
    </row>
    <row r="860" spans="4:5" ht="12.75">
      <c r="D860" s="19"/>
      <c r="E860" s="19"/>
    </row>
    <row r="861" spans="4:5" ht="12.75">
      <c r="D861" s="19"/>
      <c r="E861" s="19"/>
    </row>
    <row r="862" spans="4:5" ht="12.75">
      <c r="D862" s="19"/>
      <c r="E862" s="19"/>
    </row>
    <row r="863" spans="4:5" ht="12.75">
      <c r="D863" s="19"/>
      <c r="E863" s="19"/>
    </row>
    <row r="864" spans="4:5" ht="12.75">
      <c r="D864" s="19"/>
      <c r="E864" s="19"/>
    </row>
    <row r="865" spans="4:5" ht="12.75">
      <c r="D865" s="19"/>
      <c r="E865" s="19"/>
    </row>
    <row r="866" spans="4:5" ht="12.75">
      <c r="D866" s="19"/>
      <c r="E866" s="19"/>
    </row>
    <row r="867" spans="4:5" ht="12.75">
      <c r="D867" s="19"/>
      <c r="E867" s="19"/>
    </row>
    <row r="868" spans="4:5" ht="12.75">
      <c r="D868" s="19"/>
      <c r="E868" s="19"/>
    </row>
    <row r="869" spans="4:5" ht="12.75">
      <c r="D869" s="19"/>
      <c r="E869" s="19"/>
    </row>
    <row r="870" spans="4:5" ht="12.75">
      <c r="D870" s="19"/>
      <c r="E870" s="19"/>
    </row>
    <row r="871" spans="4:5" ht="12.75">
      <c r="D871" s="19"/>
      <c r="E871" s="19"/>
    </row>
    <row r="872" spans="4:5" ht="12.75">
      <c r="D872" s="19"/>
      <c r="E872" s="19"/>
    </row>
    <row r="873" spans="4:5" ht="12.75">
      <c r="D873" s="19"/>
      <c r="E873" s="19"/>
    </row>
    <row r="874" spans="4:5" ht="12.75">
      <c r="D874" s="19"/>
      <c r="E874" s="19"/>
    </row>
    <row r="875" spans="4:5" ht="12.75">
      <c r="D875" s="19"/>
      <c r="E875" s="19"/>
    </row>
    <row r="876" spans="4:5" ht="12.75">
      <c r="D876" s="19"/>
      <c r="E876" s="19"/>
    </row>
    <row r="877" spans="4:5" ht="12.75">
      <c r="D877" s="19"/>
      <c r="E877" s="19"/>
    </row>
    <row r="878" spans="4:5" ht="12.75">
      <c r="D878" s="19"/>
      <c r="E878" s="19"/>
    </row>
    <row r="879" spans="4:5" ht="12.75">
      <c r="D879" s="19"/>
      <c r="E879" s="19"/>
    </row>
    <row r="880" spans="4:5" ht="12.75">
      <c r="D880" s="19"/>
      <c r="E880" s="19"/>
    </row>
    <row r="881" spans="4:5" ht="12.75">
      <c r="D881" s="19"/>
      <c r="E881" s="19"/>
    </row>
    <row r="882" spans="4:5" ht="12.75">
      <c r="D882" s="19"/>
      <c r="E882" s="19"/>
    </row>
    <row r="883" spans="4:5" ht="12.75">
      <c r="D883" s="19"/>
      <c r="E883" s="19"/>
    </row>
    <row r="884" spans="4:5" ht="12.75">
      <c r="D884" s="19"/>
      <c r="E884" s="19"/>
    </row>
    <row r="885" spans="4:5" ht="12.75">
      <c r="D885" s="19"/>
      <c r="E885" s="19"/>
    </row>
    <row r="886" spans="4:5" ht="12.75">
      <c r="D886" s="19"/>
      <c r="E886" s="19"/>
    </row>
    <row r="887" spans="4:5" ht="12.75">
      <c r="D887" s="19"/>
      <c r="E887" s="19"/>
    </row>
    <row r="888" spans="4:5" ht="12.75">
      <c r="D888" s="19"/>
      <c r="E888" s="19"/>
    </row>
    <row r="889" spans="4:5" ht="12.75">
      <c r="D889" s="19"/>
      <c r="E889" s="19"/>
    </row>
    <row r="890" spans="4:5" ht="12.75">
      <c r="D890" s="19"/>
      <c r="E890" s="19"/>
    </row>
    <row r="891" spans="4:5" ht="12.75">
      <c r="D891" s="19"/>
      <c r="E891" s="19"/>
    </row>
    <row r="892" spans="4:5" ht="12.75">
      <c r="D892" s="19"/>
      <c r="E892" s="19"/>
    </row>
    <row r="893" spans="4:5" ht="12.75">
      <c r="D893" s="19"/>
      <c r="E893" s="19"/>
    </row>
    <row r="894" spans="4:5" ht="12.75">
      <c r="D894" s="19"/>
      <c r="E894" s="19"/>
    </row>
    <row r="895" spans="4:5" ht="12.75">
      <c r="D895" s="19"/>
      <c r="E895" s="19"/>
    </row>
    <row r="896" spans="4:5" ht="12.75">
      <c r="D896" s="19"/>
      <c r="E896" s="19"/>
    </row>
    <row r="897" spans="4:5" ht="12.75">
      <c r="D897" s="19"/>
      <c r="E897" s="19"/>
    </row>
    <row r="898" spans="4:5" ht="12.75">
      <c r="D898" s="19"/>
      <c r="E898" s="19"/>
    </row>
    <row r="899" spans="4:5" ht="12.75">
      <c r="D899" s="19"/>
      <c r="E899" s="19"/>
    </row>
    <row r="900" spans="4:5" ht="12.75">
      <c r="D900" s="19"/>
      <c r="E900" s="19"/>
    </row>
    <row r="901" spans="4:5" ht="12.75">
      <c r="D901" s="19"/>
      <c r="E901" s="19"/>
    </row>
    <row r="902" spans="4:5" ht="12.75">
      <c r="D902" s="19"/>
      <c r="E902" s="19"/>
    </row>
    <row r="903" spans="4:5" ht="12.75">
      <c r="D903" s="19"/>
      <c r="E903" s="19"/>
    </row>
    <row r="904" spans="4:5" ht="12.75">
      <c r="D904" s="19"/>
      <c r="E904" s="19"/>
    </row>
    <row r="905" spans="4:5" ht="12.75">
      <c r="D905" s="19"/>
      <c r="E905" s="19"/>
    </row>
    <row r="906" spans="4:5" ht="12.75">
      <c r="D906" s="19"/>
      <c r="E906" s="19"/>
    </row>
    <row r="907" spans="4:5" ht="12.75">
      <c r="D907" s="19"/>
      <c r="E907" s="19"/>
    </row>
    <row r="908" spans="4:5" ht="12.75">
      <c r="D908" s="19"/>
      <c r="E908" s="19"/>
    </row>
    <row r="909" spans="4:5" ht="12.75">
      <c r="D909" s="19"/>
      <c r="E909" s="19"/>
    </row>
    <row r="910" spans="4:5" ht="12.75">
      <c r="D910" s="19"/>
      <c r="E910" s="19"/>
    </row>
    <row r="911" spans="4:5" ht="12.75">
      <c r="D911" s="19"/>
      <c r="E911" s="19"/>
    </row>
    <row r="912" spans="4:5" ht="12.75">
      <c r="D912" s="19"/>
      <c r="E912" s="19"/>
    </row>
    <row r="913" spans="4:5" ht="12.75">
      <c r="D913" s="19"/>
      <c r="E913" s="19"/>
    </row>
    <row r="914" spans="4:5" ht="12.75">
      <c r="D914" s="19"/>
      <c r="E914" s="19"/>
    </row>
    <row r="915" spans="4:5" ht="12.75">
      <c r="D915" s="19"/>
      <c r="E915" s="19"/>
    </row>
    <row r="916" spans="4:5" ht="12.75">
      <c r="D916" s="19"/>
      <c r="E916" s="19"/>
    </row>
    <row r="917" spans="4:5" ht="12.75">
      <c r="D917" s="19"/>
      <c r="E917" s="19"/>
    </row>
    <row r="918" spans="4:5" ht="12.75">
      <c r="D918" s="19"/>
      <c r="E918" s="19"/>
    </row>
    <row r="919" spans="4:5" ht="12.75">
      <c r="D919" s="19"/>
      <c r="E919" s="19"/>
    </row>
    <row r="920" spans="4:5" ht="12.75">
      <c r="D920" s="19"/>
      <c r="E920" s="19"/>
    </row>
    <row r="921" spans="4:5" ht="12.75">
      <c r="D921" s="19"/>
      <c r="E921" s="19"/>
    </row>
    <row r="922" spans="4:5" ht="12.75">
      <c r="D922" s="19"/>
      <c r="E922" s="19"/>
    </row>
    <row r="923" spans="4:5" ht="12.75">
      <c r="D923" s="19"/>
      <c r="E923" s="19"/>
    </row>
    <row r="924" spans="4:5" ht="12.75">
      <c r="D924" s="19"/>
      <c r="E924" s="19"/>
    </row>
    <row r="925" spans="4:5" ht="12.75">
      <c r="D925" s="19"/>
      <c r="E925" s="19"/>
    </row>
    <row r="926" spans="4:5" ht="12.75">
      <c r="D926" s="19"/>
      <c r="E926" s="19"/>
    </row>
    <row r="927" spans="4:5" ht="12.75">
      <c r="D927" s="19"/>
      <c r="E927" s="19"/>
    </row>
    <row r="928" spans="4:5" ht="12.75">
      <c r="D928" s="19"/>
      <c r="E928" s="19"/>
    </row>
    <row r="929" spans="4:5" ht="12.75">
      <c r="D929" s="19"/>
      <c r="E929" s="19"/>
    </row>
    <row r="930" spans="4:5" ht="12.75">
      <c r="D930" s="19"/>
      <c r="E930" s="19"/>
    </row>
    <row r="931" spans="4:5" ht="12.75">
      <c r="D931" s="19"/>
      <c r="E931" s="19"/>
    </row>
    <row r="932" spans="4:5" ht="12.75">
      <c r="D932" s="19"/>
      <c r="E932" s="19"/>
    </row>
    <row r="933" spans="4:5" ht="12.75">
      <c r="D933" s="19"/>
      <c r="E933" s="19"/>
    </row>
    <row r="934" spans="4:5" ht="12.75">
      <c r="D934" s="19"/>
      <c r="E934" s="19"/>
    </row>
    <row r="935" spans="4:5" ht="12.75">
      <c r="D935" s="19"/>
      <c r="E935" s="19"/>
    </row>
    <row r="936" spans="4:5" ht="12.75">
      <c r="D936" s="19"/>
      <c r="E936" s="19"/>
    </row>
    <row r="937" spans="4:5" ht="12.75">
      <c r="D937" s="19"/>
      <c r="E937" s="19"/>
    </row>
    <row r="938" spans="4:5" ht="12.75">
      <c r="D938" s="19"/>
      <c r="E938" s="19"/>
    </row>
    <row r="939" spans="4:5" ht="12.75">
      <c r="D939" s="19"/>
      <c r="E939" s="19"/>
    </row>
    <row r="940" spans="4:5" ht="12.75">
      <c r="D940" s="19"/>
      <c r="E940" s="19"/>
    </row>
    <row r="941" spans="4:5" ht="12.75">
      <c r="D941" s="19"/>
      <c r="E941" s="19"/>
    </row>
    <row r="942" spans="4:5" ht="12.75">
      <c r="D942" s="19"/>
      <c r="E942" s="19"/>
    </row>
    <row r="943" spans="4:5" ht="12.75">
      <c r="D943" s="19"/>
      <c r="E943" s="19"/>
    </row>
    <row r="944" spans="4:5" ht="12.75">
      <c r="D944" s="19"/>
      <c r="E944" s="19"/>
    </row>
    <row r="945" spans="4:5" ht="12.75">
      <c r="D945" s="19"/>
      <c r="E945" s="19"/>
    </row>
    <row r="946" spans="4:5" ht="12.75">
      <c r="D946" s="19"/>
      <c r="E946" s="19"/>
    </row>
    <row r="947" spans="4:5" ht="12.75">
      <c r="D947" s="19"/>
      <c r="E947" s="19"/>
    </row>
    <row r="948" spans="4:5" ht="12.75">
      <c r="D948" s="19"/>
      <c r="E948" s="19"/>
    </row>
    <row r="949" spans="4:5" ht="12.75">
      <c r="D949" s="19"/>
      <c r="E949" s="19"/>
    </row>
    <row r="950" spans="4:5" ht="12.75">
      <c r="D950" s="19"/>
      <c r="E950" s="19"/>
    </row>
    <row r="951" spans="4:5" ht="12.75">
      <c r="D951" s="19"/>
      <c r="E951" s="19"/>
    </row>
    <row r="952" spans="4:5" ht="12.75">
      <c r="D952" s="19"/>
      <c r="E952" s="19"/>
    </row>
    <row r="953" spans="4:5" ht="12.75">
      <c r="D953" s="19"/>
      <c r="E953" s="19"/>
    </row>
    <row r="954" spans="4:5" ht="12.75">
      <c r="D954" s="19"/>
      <c r="E954" s="19"/>
    </row>
    <row r="955" spans="4:5" ht="12.75">
      <c r="D955" s="19"/>
      <c r="E955" s="19"/>
    </row>
    <row r="956" spans="4:5" ht="12.75">
      <c r="D956" s="19"/>
      <c r="E956" s="19"/>
    </row>
    <row r="957" spans="4:5" ht="12.75">
      <c r="D957" s="19"/>
      <c r="E957" s="19"/>
    </row>
    <row r="958" spans="4:5" ht="12.75">
      <c r="D958" s="19"/>
      <c r="E958" s="19"/>
    </row>
    <row r="959" spans="4:5" ht="12.75">
      <c r="D959" s="19"/>
      <c r="E959" s="19"/>
    </row>
    <row r="960" spans="4:5" ht="12.75">
      <c r="D960" s="19"/>
      <c r="E960" s="19"/>
    </row>
    <row r="961" spans="4:5" ht="12.75">
      <c r="D961" s="19"/>
      <c r="E961" s="19"/>
    </row>
    <row r="962" spans="4:5" ht="12.75">
      <c r="D962" s="19"/>
      <c r="E962" s="19"/>
    </row>
    <row r="963" spans="4:5" ht="12.75">
      <c r="D963" s="19"/>
      <c r="E963" s="19"/>
    </row>
    <row r="964" spans="4:5" ht="12.75">
      <c r="D964" s="19"/>
      <c r="E964" s="19"/>
    </row>
    <row r="965" spans="4:5" ht="12.75">
      <c r="D965" s="19"/>
      <c r="E965" s="19"/>
    </row>
    <row r="966" spans="4:5" ht="12.75">
      <c r="D966" s="19"/>
      <c r="E966" s="19"/>
    </row>
    <row r="967" spans="4:5" ht="12.75">
      <c r="D967" s="19"/>
      <c r="E967" s="19"/>
    </row>
    <row r="968" spans="4:5" ht="12.75">
      <c r="D968" s="19"/>
      <c r="E968" s="19"/>
    </row>
    <row r="969" spans="4:5" ht="12.75">
      <c r="D969" s="19"/>
      <c r="E969" s="19"/>
    </row>
    <row r="970" spans="4:5" ht="12.75">
      <c r="D970" s="19"/>
      <c r="E970" s="19"/>
    </row>
    <row r="971" spans="4:5" ht="12.75">
      <c r="D971" s="19"/>
      <c r="E971" s="19"/>
    </row>
    <row r="972" spans="4:5" ht="12.75">
      <c r="D972" s="19"/>
      <c r="E972" s="19"/>
    </row>
    <row r="973" spans="4:5" ht="12.75">
      <c r="D973" s="19"/>
      <c r="E973" s="19"/>
    </row>
    <row r="974" spans="4:5" ht="12.75">
      <c r="D974" s="19"/>
      <c r="E974" s="19"/>
    </row>
    <row r="975" spans="4:5" ht="12.75">
      <c r="D975" s="19"/>
      <c r="E975" s="19"/>
    </row>
    <row r="976" spans="4:5" ht="12.75">
      <c r="D976" s="19"/>
      <c r="E976" s="19"/>
    </row>
    <row r="977" spans="4:5" ht="12.75">
      <c r="D977" s="19"/>
      <c r="E977" s="19"/>
    </row>
    <row r="978" spans="4:5" ht="12.75">
      <c r="D978" s="19"/>
      <c r="E978" s="19"/>
    </row>
    <row r="979" spans="4:5" ht="12.75">
      <c r="D979" s="19"/>
      <c r="E979" s="19"/>
    </row>
    <row r="980" spans="4:5" ht="12.75">
      <c r="D980" s="19"/>
      <c r="E980" s="19"/>
    </row>
    <row r="981" spans="4:5" ht="12.75">
      <c r="D981" s="19"/>
      <c r="E981" s="19"/>
    </row>
    <row r="982" spans="4:5" ht="12.75">
      <c r="D982" s="19"/>
      <c r="E982" s="19"/>
    </row>
    <row r="983" spans="4:5" ht="12.75">
      <c r="D983" s="19"/>
      <c r="E983" s="19"/>
    </row>
    <row r="984" spans="4:5" ht="12.75">
      <c r="D984" s="19"/>
      <c r="E984" s="19"/>
    </row>
    <row r="985" spans="4:5" ht="12.75">
      <c r="D985" s="19"/>
      <c r="E985" s="19"/>
    </row>
    <row r="986" spans="4:5" ht="12.75">
      <c r="D986" s="19"/>
      <c r="E986" s="19"/>
    </row>
    <row r="987" spans="4:5" ht="12.75">
      <c r="D987" s="19"/>
      <c r="E987" s="19"/>
    </row>
    <row r="988" spans="4:5" ht="12.75">
      <c r="D988" s="19"/>
      <c r="E988" s="19"/>
    </row>
    <row r="989" spans="4:5" ht="12.75">
      <c r="D989" s="19"/>
      <c r="E989" s="19"/>
    </row>
    <row r="990" spans="4:5" ht="12.75">
      <c r="D990" s="19"/>
      <c r="E990" s="19"/>
    </row>
    <row r="991" spans="4:5" ht="12.75">
      <c r="D991" s="19"/>
      <c r="E991" s="19"/>
    </row>
    <row r="992" spans="4:5" ht="12.75">
      <c r="D992" s="19"/>
      <c r="E992" s="19"/>
    </row>
    <row r="993" spans="4:5" ht="12.75">
      <c r="D993" s="19"/>
      <c r="E993" s="19"/>
    </row>
    <row r="994" spans="4:5" ht="12.75">
      <c r="D994" s="19"/>
      <c r="E994" s="19"/>
    </row>
    <row r="995" spans="4:5" ht="12.75">
      <c r="D995" s="19"/>
      <c r="E995" s="19"/>
    </row>
    <row r="996" spans="4:5" ht="12.75">
      <c r="D996" s="19"/>
      <c r="E996" s="19"/>
    </row>
    <row r="997" spans="4:5" ht="12.75">
      <c r="D997" s="19"/>
      <c r="E997" s="19"/>
    </row>
    <row r="998" spans="4:5" ht="12.75">
      <c r="D998" s="19"/>
      <c r="E998" s="19"/>
    </row>
    <row r="999" spans="4:5" ht="12.75">
      <c r="D999" s="19"/>
      <c r="E999" s="19"/>
    </row>
    <row r="1000" spans="4:5" ht="12.75">
      <c r="D1000" s="19"/>
      <c r="E1000" s="19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FFFF"/>
    <outlinePr summaryBelow="0" summaryRight="0"/>
  </sheetPr>
  <dimension ref="A1:Y995"/>
  <sheetViews>
    <sheetView workbookViewId="0"/>
  </sheetViews>
  <sheetFormatPr defaultColWidth="14.42578125" defaultRowHeight="15.75" customHeight="1"/>
  <cols>
    <col min="2" max="2" width="23.7109375" customWidth="1"/>
  </cols>
  <sheetData>
    <row r="1" spans="1:24" ht="15.75" customHeight="1">
      <c r="A1" s="70" t="s">
        <v>73</v>
      </c>
      <c r="B1" s="70" t="s">
        <v>0</v>
      </c>
      <c r="C1" s="70" t="s">
        <v>74</v>
      </c>
      <c r="D1" s="108" t="s">
        <v>61</v>
      </c>
      <c r="E1" s="108" t="s">
        <v>75</v>
      </c>
      <c r="F1" s="129" t="s">
        <v>0</v>
      </c>
      <c r="G1" s="126"/>
      <c r="H1" s="129" t="s">
        <v>76</v>
      </c>
      <c r="I1" s="126"/>
    </row>
    <row r="2" spans="1:24" ht="15.75" customHeight="1">
      <c r="A2" s="111">
        <v>44212</v>
      </c>
      <c r="B2" s="70" t="s">
        <v>157</v>
      </c>
      <c r="C2" s="70" t="s">
        <v>153</v>
      </c>
      <c r="D2" s="72">
        <v>-1.917E-2</v>
      </c>
      <c r="E2" s="72">
        <v>-2.0389999999999998E-2</v>
      </c>
      <c r="F2" s="73">
        <v>100</v>
      </c>
      <c r="G2" s="73">
        <f t="shared" ref="G2:G72" si="0">F2*(1+D2)</f>
        <v>98.082999999999998</v>
      </c>
      <c r="H2" s="73">
        <v>100</v>
      </c>
      <c r="I2" s="73">
        <f t="shared" ref="I2:I72" si="1">H2*(1+E2)</f>
        <v>97.960999999999999</v>
      </c>
    </row>
    <row r="3" spans="1:24" ht="15.75" customHeight="1">
      <c r="A3" s="71">
        <v>44243</v>
      </c>
      <c r="B3" s="70" t="s">
        <v>160</v>
      </c>
      <c r="C3" s="70" t="s">
        <v>153</v>
      </c>
      <c r="D3" s="72">
        <v>1.3018999999999999E-2</v>
      </c>
      <c r="E3" s="72">
        <v>-4.0899999999999999E-3</v>
      </c>
      <c r="F3" s="73">
        <f t="shared" ref="F3:F72" si="2">G2</f>
        <v>98.082999999999998</v>
      </c>
      <c r="G3" s="73">
        <f t="shared" si="0"/>
        <v>99.359942576999984</v>
      </c>
      <c r="H3" s="73">
        <f t="shared" ref="H3:H72" si="3">I2</f>
        <v>97.960999999999999</v>
      </c>
      <c r="I3" s="73">
        <f t="shared" si="1"/>
        <v>97.560339509999991</v>
      </c>
    </row>
    <row r="4" spans="1:24" ht="15.75" customHeight="1">
      <c r="A4" s="71">
        <v>44271</v>
      </c>
      <c r="B4" s="70" t="s">
        <v>160</v>
      </c>
      <c r="C4" s="70" t="s">
        <v>153</v>
      </c>
      <c r="D4" s="72">
        <v>4.6700000000000002E-4</v>
      </c>
      <c r="E4" s="72">
        <v>4.0822999999999998E-2</v>
      </c>
      <c r="F4" s="73">
        <f t="shared" si="2"/>
        <v>99.359942576999984</v>
      </c>
      <c r="G4" s="73">
        <f t="shared" si="0"/>
        <v>99.406343670183446</v>
      </c>
      <c r="H4" s="73">
        <f t="shared" si="3"/>
        <v>97.560339509999991</v>
      </c>
      <c r="I4" s="73">
        <f t="shared" si="1"/>
        <v>101.54304524981673</v>
      </c>
    </row>
    <row r="5" spans="1:24" ht="15.75" customHeight="1">
      <c r="A5" s="71">
        <v>44302</v>
      </c>
      <c r="B5" s="70" t="s">
        <v>161</v>
      </c>
      <c r="C5" s="70" t="s">
        <v>153</v>
      </c>
      <c r="D5" s="72">
        <v>4.2009999999999999E-3</v>
      </c>
      <c r="E5" s="72">
        <v>8.0169999999999998E-3</v>
      </c>
      <c r="F5" s="73">
        <f t="shared" si="2"/>
        <v>99.406343670183446</v>
      </c>
      <c r="G5" s="73">
        <f t="shared" si="0"/>
        <v>99.823949719941879</v>
      </c>
      <c r="H5" s="73">
        <f t="shared" si="3"/>
        <v>101.54304524981673</v>
      </c>
      <c r="I5" s="73">
        <f t="shared" si="1"/>
        <v>102.35711584358451</v>
      </c>
    </row>
    <row r="6" spans="1:24" ht="15.75" customHeight="1">
      <c r="A6" s="74">
        <v>44332</v>
      </c>
      <c r="B6" s="70" t="s">
        <v>154</v>
      </c>
      <c r="C6" s="70" t="s">
        <v>155</v>
      </c>
      <c r="D6" s="72">
        <v>1.4737E-2</v>
      </c>
      <c r="E6" s="72">
        <v>4.5519999999999996E-3</v>
      </c>
      <c r="F6" s="73">
        <f t="shared" si="2"/>
        <v>99.823949719941879</v>
      </c>
      <c r="G6" s="73">
        <f t="shared" si="0"/>
        <v>101.29505526696467</v>
      </c>
      <c r="H6" s="73">
        <f t="shared" si="3"/>
        <v>102.35711584358451</v>
      </c>
      <c r="I6" s="73">
        <f t="shared" si="1"/>
        <v>102.8230454349045</v>
      </c>
    </row>
    <row r="7" spans="1:24" ht="15.75" customHeight="1">
      <c r="A7" s="71">
        <v>44363</v>
      </c>
      <c r="B7" s="70" t="s">
        <v>152</v>
      </c>
      <c r="C7" s="70" t="s">
        <v>153</v>
      </c>
      <c r="D7" s="72">
        <v>7.28E-3</v>
      </c>
      <c r="E7" s="72">
        <v>5.927E-3</v>
      </c>
      <c r="F7" s="73">
        <f t="shared" si="2"/>
        <v>101.29505526696467</v>
      </c>
      <c r="G7" s="73">
        <f t="shared" si="0"/>
        <v>102.03248326930816</v>
      </c>
      <c r="H7" s="73">
        <f t="shared" si="3"/>
        <v>102.8230454349045</v>
      </c>
      <c r="I7" s="73">
        <f t="shared" si="1"/>
        <v>103.43247762519718</v>
      </c>
    </row>
    <row r="8" spans="1:24" ht="15.75" customHeight="1">
      <c r="A8" s="71">
        <v>44393</v>
      </c>
      <c r="B8" s="70" t="s">
        <v>162</v>
      </c>
      <c r="C8" s="70" t="s">
        <v>153</v>
      </c>
      <c r="D8" s="72">
        <v>4.3622000000000001E-2</v>
      </c>
      <c r="E8" s="72">
        <v>2.4804E-2</v>
      </c>
      <c r="F8" s="73">
        <f t="shared" si="2"/>
        <v>102.03248326930816</v>
      </c>
      <c r="G8" s="73">
        <f t="shared" si="0"/>
        <v>106.48334425448192</v>
      </c>
      <c r="H8" s="73">
        <f t="shared" si="3"/>
        <v>103.43247762519718</v>
      </c>
      <c r="I8" s="73">
        <f t="shared" si="1"/>
        <v>105.99801680021258</v>
      </c>
      <c r="T8" s="75"/>
      <c r="U8" s="75"/>
      <c r="W8" s="75"/>
      <c r="X8" s="75"/>
    </row>
    <row r="9" spans="1:24" ht="15.75" customHeight="1">
      <c r="A9" s="71">
        <v>44424</v>
      </c>
      <c r="B9" s="70" t="s">
        <v>157</v>
      </c>
      <c r="C9" s="70" t="s">
        <v>153</v>
      </c>
      <c r="D9" s="72">
        <v>2.2550000000000001E-3</v>
      </c>
      <c r="E9" s="72">
        <v>-1.7899999999999999E-3</v>
      </c>
      <c r="F9" s="73">
        <f t="shared" si="2"/>
        <v>106.48334425448192</v>
      </c>
      <c r="G9" s="73">
        <f t="shared" si="0"/>
        <v>106.72346419577576</v>
      </c>
      <c r="H9" s="73">
        <f t="shared" si="3"/>
        <v>105.99801680021258</v>
      </c>
      <c r="I9" s="73">
        <f t="shared" si="1"/>
        <v>105.80828035014021</v>
      </c>
      <c r="T9" s="75"/>
      <c r="U9" s="75"/>
      <c r="W9" s="75"/>
      <c r="X9" s="75"/>
    </row>
    <row r="10" spans="1:24" ht="15.75" customHeight="1">
      <c r="A10" s="71">
        <v>44455</v>
      </c>
      <c r="B10" s="70" t="s">
        <v>162</v>
      </c>
      <c r="C10" s="70" t="s">
        <v>153</v>
      </c>
      <c r="D10" s="72">
        <v>4.2700000000000002E-4</v>
      </c>
      <c r="E10" s="72">
        <v>5.581E-3</v>
      </c>
      <c r="F10" s="73">
        <f t="shared" si="2"/>
        <v>106.72346419577576</v>
      </c>
      <c r="G10" s="73">
        <f t="shared" si="0"/>
        <v>106.76903511498735</v>
      </c>
      <c r="H10" s="73">
        <f t="shared" si="3"/>
        <v>105.80828035014021</v>
      </c>
      <c r="I10" s="73">
        <f t="shared" si="1"/>
        <v>106.39879636277435</v>
      </c>
      <c r="T10" s="75"/>
      <c r="U10" s="75"/>
      <c r="W10" s="75"/>
      <c r="X10" s="75"/>
    </row>
    <row r="11" spans="1:24" ht="15.75" customHeight="1">
      <c r="A11" s="71">
        <v>44485</v>
      </c>
      <c r="B11" s="70" t="s">
        <v>158</v>
      </c>
      <c r="C11" s="70" t="s">
        <v>155</v>
      </c>
      <c r="D11" s="72">
        <v>-1.174E-2</v>
      </c>
      <c r="E11" s="72">
        <v>-1.9199999999999998E-2</v>
      </c>
      <c r="F11" s="73">
        <f t="shared" si="2"/>
        <v>106.76903511498735</v>
      </c>
      <c r="G11" s="73">
        <f t="shared" si="0"/>
        <v>105.5155666427374</v>
      </c>
      <c r="H11" s="73">
        <f t="shared" si="3"/>
        <v>106.39879636277435</v>
      </c>
      <c r="I11" s="73">
        <f t="shared" si="1"/>
        <v>104.35593947260908</v>
      </c>
      <c r="T11" s="75"/>
      <c r="U11" s="75"/>
      <c r="W11" s="75"/>
      <c r="X11" s="75"/>
    </row>
    <row r="12" spans="1:24" ht="15.75" customHeight="1">
      <c r="A12" s="71">
        <v>44516</v>
      </c>
      <c r="B12" s="70" t="s">
        <v>158</v>
      </c>
      <c r="C12" s="70" t="s">
        <v>155</v>
      </c>
      <c r="D12" s="72">
        <v>3.127E-3</v>
      </c>
      <c r="E12" s="72">
        <v>-8.7799999999999996E-3</v>
      </c>
      <c r="F12" s="73">
        <f t="shared" si="2"/>
        <v>105.5155666427374</v>
      </c>
      <c r="G12" s="73">
        <f t="shared" si="0"/>
        <v>105.84551381962925</v>
      </c>
      <c r="H12" s="73">
        <f t="shared" si="3"/>
        <v>104.35593947260908</v>
      </c>
      <c r="I12" s="73">
        <f t="shared" si="1"/>
        <v>103.43969432403956</v>
      </c>
      <c r="T12" s="75"/>
      <c r="U12" s="75"/>
      <c r="W12" s="75"/>
      <c r="X12" s="75"/>
    </row>
    <row r="13" spans="1:24" ht="15.75" customHeight="1">
      <c r="A13" s="71">
        <v>44546</v>
      </c>
      <c r="B13" s="70" t="s">
        <v>152</v>
      </c>
      <c r="C13" s="70" t="s">
        <v>153</v>
      </c>
      <c r="D13" s="72">
        <v>2.5020000000000001E-2</v>
      </c>
      <c r="E13" s="72">
        <v>1.3599999999999999E-2</v>
      </c>
      <c r="F13" s="73">
        <f t="shared" si="2"/>
        <v>105.84551381962925</v>
      </c>
      <c r="G13" s="73">
        <f t="shared" si="0"/>
        <v>108.49376857539637</v>
      </c>
      <c r="H13" s="73">
        <f t="shared" si="3"/>
        <v>103.43969432403956</v>
      </c>
      <c r="I13" s="73">
        <f t="shared" si="1"/>
        <v>104.84647416684651</v>
      </c>
      <c r="T13" s="75"/>
      <c r="U13" s="75"/>
      <c r="W13" s="75"/>
      <c r="X13" s="75"/>
    </row>
    <row r="14" spans="1:24" ht="15.75" customHeight="1">
      <c r="A14" s="71">
        <v>44213</v>
      </c>
      <c r="B14" s="70" t="s">
        <v>152</v>
      </c>
      <c r="C14" s="70" t="s">
        <v>153</v>
      </c>
      <c r="D14" s="72">
        <v>6.7390000000000002E-3</v>
      </c>
      <c r="E14" s="72">
        <v>1.6317000000000002E-2</v>
      </c>
      <c r="F14" s="73">
        <f t="shared" si="2"/>
        <v>108.49376857539637</v>
      </c>
      <c r="G14" s="73">
        <f t="shared" si="0"/>
        <v>109.22490808182597</v>
      </c>
      <c r="H14" s="73">
        <f t="shared" si="3"/>
        <v>104.84647416684651</v>
      </c>
      <c r="I14" s="73">
        <f t="shared" si="1"/>
        <v>106.55725408582693</v>
      </c>
      <c r="T14" s="75"/>
      <c r="U14" s="75"/>
      <c r="W14" s="75"/>
      <c r="X14" s="75"/>
    </row>
    <row r="15" spans="1:24" ht="15.75" customHeight="1">
      <c r="A15" s="71">
        <v>44244</v>
      </c>
      <c r="B15" s="70" t="s">
        <v>152</v>
      </c>
      <c r="C15" s="70" t="s">
        <v>153</v>
      </c>
      <c r="D15" s="72">
        <v>1.6858000000000001E-2</v>
      </c>
      <c r="E15" s="72">
        <v>1.7555000000000001E-2</v>
      </c>
      <c r="F15" s="73">
        <f t="shared" si="2"/>
        <v>109.22490808182597</v>
      </c>
      <c r="G15" s="73">
        <f t="shared" si="0"/>
        <v>111.06622158226939</v>
      </c>
      <c r="H15" s="73">
        <f t="shared" si="3"/>
        <v>106.55725408582693</v>
      </c>
      <c r="I15" s="73">
        <f t="shared" si="1"/>
        <v>108.42786668130361</v>
      </c>
      <c r="T15" s="75"/>
      <c r="U15" s="75"/>
      <c r="W15" s="75"/>
      <c r="X15" s="75"/>
    </row>
    <row r="16" spans="1:24" ht="15.75" customHeight="1">
      <c r="A16" s="71">
        <v>44272</v>
      </c>
      <c r="B16" s="70" t="s">
        <v>158</v>
      </c>
      <c r="C16" s="70" t="s">
        <v>155</v>
      </c>
      <c r="D16" s="72">
        <v>1.0926E-2</v>
      </c>
      <c r="E16" s="72">
        <v>1.0187E-2</v>
      </c>
      <c r="F16" s="73">
        <f t="shared" si="2"/>
        <v>111.06622158226939</v>
      </c>
      <c r="G16" s="73">
        <f t="shared" si="0"/>
        <v>112.27973111927727</v>
      </c>
      <c r="H16" s="73">
        <f t="shared" si="3"/>
        <v>108.42786668130361</v>
      </c>
      <c r="I16" s="73">
        <f t="shared" si="1"/>
        <v>109.53242135918605</v>
      </c>
      <c r="T16" s="75"/>
      <c r="U16" s="75"/>
      <c r="W16" s="75"/>
      <c r="X16" s="75"/>
    </row>
    <row r="17" spans="1:24" ht="15.75" customHeight="1">
      <c r="A17" s="71">
        <v>44303</v>
      </c>
      <c r="B17" s="70" t="s">
        <v>158</v>
      </c>
      <c r="C17" s="70" t="s">
        <v>155</v>
      </c>
      <c r="D17" s="72">
        <v>2.0514999999999999E-2</v>
      </c>
      <c r="E17" s="72">
        <v>1.4893999999999999E-2</v>
      </c>
      <c r="F17" s="73">
        <f t="shared" si="2"/>
        <v>112.27973111927727</v>
      </c>
      <c r="G17" s="73">
        <f t="shared" si="0"/>
        <v>114.58314980318926</v>
      </c>
      <c r="H17" s="73">
        <f t="shared" si="3"/>
        <v>109.53242135918605</v>
      </c>
      <c r="I17" s="73">
        <f t="shared" si="1"/>
        <v>111.16379724290975</v>
      </c>
      <c r="T17" s="75"/>
      <c r="U17" s="75"/>
      <c r="W17" s="75"/>
      <c r="X17" s="75"/>
    </row>
    <row r="18" spans="1:24" ht="15.75" customHeight="1">
      <c r="A18" s="74">
        <v>44333</v>
      </c>
      <c r="B18" s="70" t="s">
        <v>157</v>
      </c>
      <c r="C18" s="70" t="s">
        <v>153</v>
      </c>
      <c r="D18" s="72">
        <v>3.0942000000000001E-2</v>
      </c>
      <c r="E18" s="72">
        <v>1.6971E-2</v>
      </c>
      <c r="F18" s="73">
        <f t="shared" si="2"/>
        <v>114.58314980318926</v>
      </c>
      <c r="G18" s="73">
        <f t="shared" si="0"/>
        <v>118.12858162439954</v>
      </c>
      <c r="H18" s="73">
        <f t="shared" si="3"/>
        <v>111.16379724290975</v>
      </c>
      <c r="I18" s="73">
        <f t="shared" si="1"/>
        <v>113.05035804591918</v>
      </c>
      <c r="T18" s="75"/>
      <c r="U18" s="75"/>
      <c r="W18" s="75"/>
      <c r="X18" s="75"/>
    </row>
    <row r="19" spans="1:24" ht="15.75" customHeight="1">
      <c r="A19" s="71">
        <v>44364</v>
      </c>
      <c r="B19" s="70" t="s">
        <v>157</v>
      </c>
      <c r="C19" s="70" t="s">
        <v>153</v>
      </c>
      <c r="D19" s="72">
        <v>-1.073E-2</v>
      </c>
      <c r="E19" s="72">
        <v>1.7290000000000001E-3</v>
      </c>
      <c r="F19" s="73">
        <f t="shared" si="2"/>
        <v>118.12858162439954</v>
      </c>
      <c r="G19" s="73">
        <f t="shared" si="0"/>
        <v>116.86106194356974</v>
      </c>
      <c r="H19" s="73">
        <f t="shared" si="3"/>
        <v>113.05035804591918</v>
      </c>
      <c r="I19" s="73">
        <f t="shared" si="1"/>
        <v>113.24582211498058</v>
      </c>
      <c r="T19" s="75"/>
      <c r="U19" s="75"/>
      <c r="W19" s="75"/>
      <c r="X19" s="75"/>
    </row>
    <row r="20" spans="1:24" ht="15.75" customHeight="1">
      <c r="A20" s="71">
        <v>44394</v>
      </c>
      <c r="B20" s="70" t="s">
        <v>157</v>
      </c>
      <c r="C20" s="70" t="s">
        <v>153</v>
      </c>
      <c r="D20" s="72">
        <v>2.1735999999999998E-2</v>
      </c>
      <c r="E20" s="72">
        <v>1.5103E-2</v>
      </c>
      <c r="F20" s="73">
        <f t="shared" si="2"/>
        <v>116.86106194356974</v>
      </c>
      <c r="G20" s="73">
        <f t="shared" si="0"/>
        <v>119.40115398597517</v>
      </c>
      <c r="H20" s="73">
        <f t="shared" si="3"/>
        <v>113.24582211498058</v>
      </c>
      <c r="I20" s="73">
        <f t="shared" si="1"/>
        <v>114.95617376638315</v>
      </c>
      <c r="T20" s="75"/>
      <c r="U20" s="75"/>
      <c r="W20" s="75"/>
      <c r="X20" s="75"/>
    </row>
    <row r="21" spans="1:24" ht="15.75" customHeight="1">
      <c r="A21" s="71">
        <v>44425</v>
      </c>
      <c r="B21" s="70" t="s">
        <v>157</v>
      </c>
      <c r="C21" s="70" t="s">
        <v>153</v>
      </c>
      <c r="D21" s="72">
        <v>2.6068999999999998E-2</v>
      </c>
      <c r="E21" s="72">
        <v>6.1440000000000002E-3</v>
      </c>
      <c r="F21" s="73">
        <f t="shared" si="2"/>
        <v>119.40115398597517</v>
      </c>
      <c r="G21" s="73">
        <f t="shared" si="0"/>
        <v>122.51382266923555</v>
      </c>
      <c r="H21" s="73">
        <f t="shared" si="3"/>
        <v>114.95617376638315</v>
      </c>
      <c r="I21" s="73">
        <f t="shared" si="1"/>
        <v>115.6624644980038</v>
      </c>
      <c r="L21" s="13" t="s">
        <v>35</v>
      </c>
      <c r="M21" s="13" t="s">
        <v>36</v>
      </c>
      <c r="N21" s="13" t="s">
        <v>37</v>
      </c>
      <c r="O21" s="13" t="s">
        <v>38</v>
      </c>
      <c r="T21" s="75"/>
      <c r="U21" s="75"/>
      <c r="W21" s="75"/>
      <c r="X21" s="75"/>
    </row>
    <row r="22" spans="1:24" ht="15.75" customHeight="1">
      <c r="A22" s="71">
        <v>44456</v>
      </c>
      <c r="B22" s="70" t="s">
        <v>157</v>
      </c>
      <c r="C22" s="70" t="s">
        <v>153</v>
      </c>
      <c r="D22" s="72">
        <v>-1.1039999999999999E-2</v>
      </c>
      <c r="E22" s="72">
        <v>8.652E-3</v>
      </c>
      <c r="F22" s="73">
        <f t="shared" si="2"/>
        <v>122.51382266923555</v>
      </c>
      <c r="G22" s="73">
        <f t="shared" si="0"/>
        <v>121.16127006696719</v>
      </c>
      <c r="H22" s="73">
        <f t="shared" si="3"/>
        <v>115.6624644980038</v>
      </c>
      <c r="I22" s="73">
        <f t="shared" si="1"/>
        <v>116.66317614084053</v>
      </c>
      <c r="K22" s="13" t="s">
        <v>3</v>
      </c>
      <c r="L22" s="19">
        <f>(G72-F62)/F62</f>
        <v>0.21564176148274589</v>
      </c>
      <c r="M22" s="19">
        <f>(G72-F61)/F61</f>
        <v>0.28904707360811999</v>
      </c>
      <c r="N22" s="19">
        <f>(G72-F36)/F36</f>
        <v>0.93375905027554318</v>
      </c>
      <c r="O22" s="19">
        <f>(G72-F12)/F12</f>
        <v>1.346236389847373</v>
      </c>
      <c r="T22" s="75"/>
      <c r="U22" s="75"/>
      <c r="W22" s="75"/>
      <c r="X22" s="75"/>
    </row>
    <row r="23" spans="1:24" ht="15.75" customHeight="1">
      <c r="A23" s="71">
        <v>44486</v>
      </c>
      <c r="B23" s="70" t="s">
        <v>158</v>
      </c>
      <c r="C23" s="70" t="s">
        <v>155</v>
      </c>
      <c r="D23" s="72">
        <v>2.8462999999999999E-2</v>
      </c>
      <c r="E23" s="72">
        <v>1.0789999999999999E-2</v>
      </c>
      <c r="F23" s="73">
        <f t="shared" si="2"/>
        <v>121.16127006696719</v>
      </c>
      <c r="G23" s="73">
        <f t="shared" si="0"/>
        <v>124.60988329688327</v>
      </c>
      <c r="H23" s="73">
        <f t="shared" si="3"/>
        <v>116.66317614084053</v>
      </c>
      <c r="I23" s="73">
        <f t="shared" si="1"/>
        <v>117.92197181140021</v>
      </c>
      <c r="K23" s="13" t="s">
        <v>39</v>
      </c>
      <c r="L23" s="19">
        <f>(I72-H62)/H62</f>
        <v>4.4900508367269151E-2</v>
      </c>
      <c r="M23" s="19">
        <f>(I72-H61)/H61</f>
        <v>7.4281020861540037E-2</v>
      </c>
      <c r="N23" s="19">
        <f>(I70-H34)/H34</f>
        <v>0.33049972264295369</v>
      </c>
      <c r="O23" s="19">
        <f>(I72-H12)/H12</f>
        <v>0.5430372748862442</v>
      </c>
      <c r="T23" s="75"/>
      <c r="U23" s="75"/>
      <c r="W23" s="75"/>
      <c r="X23" s="75"/>
    </row>
    <row r="24" spans="1:24" ht="15.75" customHeight="1">
      <c r="A24" s="71">
        <v>44517</v>
      </c>
      <c r="B24" s="70" t="s">
        <v>152</v>
      </c>
      <c r="C24" s="70" t="s">
        <v>153</v>
      </c>
      <c r="D24" s="72">
        <v>1.6244000000000001E-2</v>
      </c>
      <c r="E24" s="72">
        <v>1.0042000000000001E-2</v>
      </c>
      <c r="F24" s="73">
        <f t="shared" si="2"/>
        <v>124.60988329688327</v>
      </c>
      <c r="G24" s="73">
        <f t="shared" si="0"/>
        <v>126.63404624115783</v>
      </c>
      <c r="H24" s="73">
        <f t="shared" si="3"/>
        <v>117.92197181140021</v>
      </c>
      <c r="I24" s="73">
        <f t="shared" si="1"/>
        <v>119.10614425233031</v>
      </c>
      <c r="K24" s="13" t="s">
        <v>4</v>
      </c>
      <c r="L24" s="19">
        <f>'Quant Rotation Monthly Returns'!L24</f>
        <v>0.159160388866768</v>
      </c>
      <c r="M24" s="19">
        <f>'Quant Rotation Monthly Returns'!M24</f>
        <v>0.25115869150003872</v>
      </c>
      <c r="N24" s="19">
        <f>'Quant Rotation Monthly Returns'!N24</f>
        <v>0.56656026359576006</v>
      </c>
      <c r="O24" s="19">
        <f>'Quant Rotation Monthly Returns'!O24</f>
        <v>1.1749100022986758</v>
      </c>
      <c r="T24" s="75"/>
      <c r="U24" s="75"/>
      <c r="W24" s="75"/>
      <c r="X24" s="75"/>
    </row>
    <row r="25" spans="1:24" ht="15.75" customHeight="1">
      <c r="A25" s="71">
        <v>44547</v>
      </c>
      <c r="B25" s="70" t="s">
        <v>152</v>
      </c>
      <c r="C25" s="70" t="s">
        <v>153</v>
      </c>
      <c r="D25" s="72">
        <v>-1.1999999999999999E-3</v>
      </c>
      <c r="E25" s="72">
        <v>8.2719999999999998E-3</v>
      </c>
      <c r="F25" s="73">
        <f t="shared" si="2"/>
        <v>126.63404624115783</v>
      </c>
      <c r="G25" s="73">
        <f t="shared" si="0"/>
        <v>126.48208538566844</v>
      </c>
      <c r="H25" s="73">
        <f t="shared" si="3"/>
        <v>119.10614425233031</v>
      </c>
      <c r="I25" s="73">
        <f t="shared" si="1"/>
        <v>120.09139027758559</v>
      </c>
      <c r="T25" s="75"/>
      <c r="U25" s="75"/>
      <c r="W25" s="75"/>
      <c r="X25" s="75"/>
    </row>
    <row r="26" spans="1:24" ht="15.75" customHeight="1">
      <c r="A26" s="71">
        <v>44214</v>
      </c>
      <c r="B26" s="70" t="s">
        <v>157</v>
      </c>
      <c r="C26" s="70" t="s">
        <v>153</v>
      </c>
      <c r="D26" s="72">
        <v>3.952E-2</v>
      </c>
      <c r="E26" s="72">
        <v>2.2155000000000001E-2</v>
      </c>
      <c r="F26" s="73">
        <f t="shared" si="2"/>
        <v>126.48208538566844</v>
      </c>
      <c r="G26" s="73">
        <f t="shared" si="0"/>
        <v>131.48065740011006</v>
      </c>
      <c r="H26" s="73">
        <f t="shared" si="3"/>
        <v>120.09139027758559</v>
      </c>
      <c r="I26" s="73">
        <f t="shared" si="1"/>
        <v>122.75201502918549</v>
      </c>
      <c r="T26" s="75"/>
      <c r="U26" s="75"/>
      <c r="W26" s="75"/>
      <c r="X26" s="75"/>
    </row>
    <row r="27" spans="1:24" ht="15.75" customHeight="1">
      <c r="A27" s="71">
        <v>44245</v>
      </c>
      <c r="B27" s="70" t="s">
        <v>158</v>
      </c>
      <c r="C27" s="70" t="s">
        <v>155</v>
      </c>
      <c r="D27" s="72">
        <v>-1.136E-2</v>
      </c>
      <c r="E27" s="72">
        <v>-2.9510000000000002E-2</v>
      </c>
      <c r="F27" s="73">
        <f t="shared" si="2"/>
        <v>131.48065740011006</v>
      </c>
      <c r="G27" s="73">
        <f t="shared" si="0"/>
        <v>129.9870371320448</v>
      </c>
      <c r="H27" s="73">
        <f t="shared" si="3"/>
        <v>122.75201502918549</v>
      </c>
      <c r="I27" s="73">
        <f t="shared" si="1"/>
        <v>119.12960306567422</v>
      </c>
      <c r="T27" s="75"/>
      <c r="U27" s="75"/>
      <c r="W27" s="75"/>
      <c r="X27" s="75"/>
    </row>
    <row r="28" spans="1:24" ht="15.75" customHeight="1">
      <c r="A28" s="71">
        <v>44273</v>
      </c>
      <c r="B28" s="70" t="s">
        <v>158</v>
      </c>
      <c r="C28" s="70" t="s">
        <v>155</v>
      </c>
      <c r="D28" s="72">
        <v>-2.6630000000000001E-2</v>
      </c>
      <c r="E28" s="72">
        <v>-3.7599999999999999E-3</v>
      </c>
      <c r="F28" s="73">
        <f t="shared" si="2"/>
        <v>129.9870371320448</v>
      </c>
      <c r="G28" s="73">
        <f t="shared" si="0"/>
        <v>126.52548233321845</v>
      </c>
      <c r="H28" s="73">
        <f t="shared" si="3"/>
        <v>119.12960306567422</v>
      </c>
      <c r="I28" s="73">
        <f t="shared" si="1"/>
        <v>118.68167575814728</v>
      </c>
      <c r="T28" s="75"/>
      <c r="U28" s="75"/>
      <c r="W28" s="75"/>
      <c r="X28" s="75"/>
    </row>
    <row r="29" spans="1:24" ht="15.75" customHeight="1">
      <c r="A29" s="71">
        <v>44304</v>
      </c>
      <c r="B29" s="70" t="s">
        <v>158</v>
      </c>
      <c r="C29" s="70" t="s">
        <v>155</v>
      </c>
      <c r="D29" s="72">
        <v>4.9430000000000003E-3</v>
      </c>
      <c r="E29" s="72">
        <v>8.0500000000000005E-4</v>
      </c>
      <c r="F29" s="73">
        <f t="shared" si="2"/>
        <v>126.52548233321845</v>
      </c>
      <c r="G29" s="73">
        <f t="shared" si="0"/>
        <v>127.15089779239153</v>
      </c>
      <c r="H29" s="73">
        <f t="shared" si="3"/>
        <v>118.68167575814728</v>
      </c>
      <c r="I29" s="73">
        <f t="shared" si="1"/>
        <v>118.77721450713258</v>
      </c>
      <c r="T29" s="75"/>
      <c r="U29" s="75"/>
      <c r="W29" s="75"/>
      <c r="X29" s="75"/>
    </row>
    <row r="30" spans="1:24" ht="15.75" customHeight="1">
      <c r="A30" s="74">
        <v>44334</v>
      </c>
      <c r="B30" s="70" t="s">
        <v>163</v>
      </c>
      <c r="C30" s="70" t="s">
        <v>155</v>
      </c>
      <c r="D30" s="72">
        <v>1.1360000000000001E-3</v>
      </c>
      <c r="E30" s="72">
        <v>6.4279999999999997E-3</v>
      </c>
      <c r="F30" s="73">
        <f t="shared" si="2"/>
        <v>127.15089779239153</v>
      </c>
      <c r="G30" s="73">
        <f t="shared" si="0"/>
        <v>127.29534121228369</v>
      </c>
      <c r="H30" s="73">
        <f t="shared" si="3"/>
        <v>118.77721450713258</v>
      </c>
      <c r="I30" s="73">
        <f t="shared" si="1"/>
        <v>119.54071444198445</v>
      </c>
      <c r="T30" s="75"/>
      <c r="U30" s="75"/>
      <c r="W30" s="75"/>
      <c r="X30" s="75"/>
    </row>
    <row r="31" spans="1:24" ht="15.75" customHeight="1">
      <c r="A31" s="71">
        <v>44365</v>
      </c>
      <c r="B31" s="70" t="s">
        <v>162</v>
      </c>
      <c r="C31" s="70" t="s">
        <v>153</v>
      </c>
      <c r="D31" s="72">
        <v>6.2729999999999999E-3</v>
      </c>
      <c r="E31" s="72">
        <v>-1.8E-3</v>
      </c>
      <c r="F31" s="73">
        <f t="shared" si="2"/>
        <v>127.29534121228369</v>
      </c>
      <c r="G31" s="73">
        <f t="shared" si="0"/>
        <v>128.09386488770835</v>
      </c>
      <c r="H31" s="73">
        <f t="shared" si="3"/>
        <v>119.54071444198445</v>
      </c>
      <c r="I31" s="73">
        <f t="shared" si="1"/>
        <v>119.32554115598887</v>
      </c>
      <c r="T31" s="75"/>
      <c r="U31" s="75"/>
      <c r="W31" s="75"/>
      <c r="X31" s="75"/>
    </row>
    <row r="32" spans="1:24" ht="15.75" customHeight="1">
      <c r="A32" s="71">
        <v>44395</v>
      </c>
      <c r="B32" s="70" t="s">
        <v>158</v>
      </c>
      <c r="C32" s="70" t="s">
        <v>155</v>
      </c>
      <c r="D32" s="72">
        <v>2.3865999999999998E-2</v>
      </c>
      <c r="E32" s="72">
        <v>1.6399E-2</v>
      </c>
      <c r="F32" s="73">
        <f t="shared" si="2"/>
        <v>128.09386488770835</v>
      </c>
      <c r="G32" s="73">
        <f t="shared" si="0"/>
        <v>131.15095306711839</v>
      </c>
      <c r="H32" s="73">
        <f t="shared" si="3"/>
        <v>119.32554115598887</v>
      </c>
      <c r="I32" s="73">
        <f t="shared" si="1"/>
        <v>121.28236070540594</v>
      </c>
      <c r="Q32" s="75"/>
      <c r="R32" s="75"/>
      <c r="T32" s="75"/>
      <c r="U32" s="75"/>
      <c r="W32" s="75"/>
      <c r="X32" s="75"/>
    </row>
    <row r="33" spans="1:24" ht="15.75" customHeight="1">
      <c r="A33" s="71">
        <v>44426</v>
      </c>
      <c r="B33" s="70" t="s">
        <v>158</v>
      </c>
      <c r="C33" s="70" t="s">
        <v>155</v>
      </c>
      <c r="D33" s="72">
        <v>3.7157000000000003E-2</v>
      </c>
      <c r="E33" s="72">
        <v>7.6470000000000002E-3</v>
      </c>
      <c r="F33" s="73">
        <f t="shared" si="2"/>
        <v>131.15095306711839</v>
      </c>
      <c r="G33" s="73">
        <f t="shared" si="0"/>
        <v>136.02412903023333</v>
      </c>
      <c r="H33" s="73">
        <f t="shared" si="3"/>
        <v>121.28236070540594</v>
      </c>
      <c r="I33" s="73">
        <f t="shared" si="1"/>
        <v>122.20980691772017</v>
      </c>
      <c r="Q33" s="75"/>
      <c r="R33" s="75"/>
      <c r="T33" s="75"/>
      <c r="U33" s="75"/>
      <c r="W33" s="75"/>
      <c r="X33" s="75"/>
    </row>
    <row r="34" spans="1:24" ht="15.75" customHeight="1">
      <c r="A34" s="71">
        <v>44457</v>
      </c>
      <c r="B34" s="70" t="s">
        <v>158</v>
      </c>
      <c r="C34" s="70" t="s">
        <v>155</v>
      </c>
      <c r="D34" s="72">
        <v>7.6999999999999996E-4</v>
      </c>
      <c r="E34" s="72">
        <v>-1.34E-3</v>
      </c>
      <c r="F34" s="73">
        <f t="shared" si="2"/>
        <v>136.02412903023333</v>
      </c>
      <c r="G34" s="73">
        <f t="shared" si="0"/>
        <v>136.12886760958659</v>
      </c>
      <c r="H34" s="73">
        <f t="shared" si="3"/>
        <v>122.20980691772017</v>
      </c>
      <c r="I34" s="73">
        <f t="shared" si="1"/>
        <v>122.04604577645043</v>
      </c>
      <c r="Q34" s="75"/>
      <c r="R34" s="75"/>
      <c r="T34" s="75"/>
      <c r="U34" s="75"/>
      <c r="W34" s="75"/>
      <c r="X34" s="75"/>
    </row>
    <row r="35" spans="1:24" ht="15.75" customHeight="1">
      <c r="A35" s="71">
        <v>44487</v>
      </c>
      <c r="B35" s="70" t="s">
        <v>158</v>
      </c>
      <c r="C35" s="70" t="s">
        <v>155</v>
      </c>
      <c r="D35" s="72">
        <v>-5.9549999999999999E-2</v>
      </c>
      <c r="E35" s="72">
        <v>-4.7840000000000001E-2</v>
      </c>
      <c r="F35" s="73">
        <f t="shared" si="2"/>
        <v>136.12886760958659</v>
      </c>
      <c r="G35" s="73">
        <f t="shared" si="0"/>
        <v>128.02239354343573</v>
      </c>
      <c r="H35" s="73">
        <f t="shared" si="3"/>
        <v>122.04604577645043</v>
      </c>
      <c r="I35" s="73">
        <f t="shared" si="1"/>
        <v>116.20736294650504</v>
      </c>
      <c r="Q35" s="75"/>
      <c r="R35" s="75"/>
      <c r="T35" s="75"/>
      <c r="U35" s="75"/>
      <c r="W35" s="75"/>
      <c r="X35" s="75"/>
    </row>
    <row r="36" spans="1:24" ht="15.75" customHeight="1">
      <c r="A36" s="71">
        <v>44518</v>
      </c>
      <c r="B36" s="70" t="s">
        <v>163</v>
      </c>
      <c r="C36" s="70" t="s">
        <v>155</v>
      </c>
      <c r="D36" s="72">
        <v>-7.1000000000000002E-4</v>
      </c>
      <c r="E36" s="72">
        <v>1.285E-2</v>
      </c>
      <c r="F36" s="73">
        <f t="shared" si="2"/>
        <v>128.02239354343573</v>
      </c>
      <c r="G36" s="73">
        <f t="shared" si="0"/>
        <v>127.93149764401988</v>
      </c>
      <c r="H36" s="73">
        <f t="shared" si="3"/>
        <v>116.20736294650504</v>
      </c>
      <c r="I36" s="73">
        <f t="shared" si="1"/>
        <v>117.70062756036764</v>
      </c>
      <c r="Q36" s="75"/>
      <c r="R36" s="75"/>
      <c r="T36" s="75"/>
      <c r="U36" s="75"/>
      <c r="W36" s="75"/>
      <c r="X36" s="75"/>
    </row>
    <row r="37" spans="1:24" ht="15">
      <c r="A37" s="71">
        <v>44548</v>
      </c>
      <c r="B37" s="70" t="s">
        <v>163</v>
      </c>
      <c r="C37" s="70" t="s">
        <v>155</v>
      </c>
      <c r="D37" s="72">
        <v>-4.7400000000000003E-3</v>
      </c>
      <c r="E37" s="72">
        <v>-3.2329999999999998E-2</v>
      </c>
      <c r="F37" s="73">
        <f t="shared" si="2"/>
        <v>127.93149764401988</v>
      </c>
      <c r="G37" s="73">
        <f t="shared" si="0"/>
        <v>127.32510234518723</v>
      </c>
      <c r="H37" s="73">
        <f t="shared" si="3"/>
        <v>117.70062756036764</v>
      </c>
      <c r="I37" s="73">
        <f t="shared" si="1"/>
        <v>113.89536627134095</v>
      </c>
      <c r="Q37" s="75"/>
      <c r="R37" s="75"/>
      <c r="T37" s="75"/>
      <c r="U37" s="75"/>
      <c r="W37" s="75"/>
      <c r="X37" s="75"/>
    </row>
    <row r="38" spans="1:24" ht="15">
      <c r="A38" s="71">
        <v>44215</v>
      </c>
      <c r="B38" s="70" t="s">
        <v>160</v>
      </c>
      <c r="C38" s="70" t="s">
        <v>153</v>
      </c>
      <c r="D38" s="72">
        <v>3.0209999999999998E-3</v>
      </c>
      <c r="E38" s="72">
        <v>4.8135999999999998E-2</v>
      </c>
      <c r="F38" s="73">
        <f t="shared" si="2"/>
        <v>127.32510234518723</v>
      </c>
      <c r="G38" s="73">
        <f t="shared" si="0"/>
        <v>127.70975147937203</v>
      </c>
      <c r="H38" s="73">
        <f t="shared" si="3"/>
        <v>113.89536627134095</v>
      </c>
      <c r="I38" s="73">
        <f t="shared" si="1"/>
        <v>119.37783362217822</v>
      </c>
      <c r="Q38" s="75"/>
      <c r="R38" s="75"/>
      <c r="T38" s="75"/>
      <c r="U38" s="75"/>
      <c r="W38" s="75"/>
      <c r="X38" s="75"/>
    </row>
    <row r="39" spans="1:24" ht="15">
      <c r="A39" s="71">
        <v>44246</v>
      </c>
      <c r="B39" s="70" t="s">
        <v>157</v>
      </c>
      <c r="C39" s="70" t="s">
        <v>153</v>
      </c>
      <c r="D39" s="72">
        <v>1.2446E-2</v>
      </c>
      <c r="E39" s="72">
        <v>1.6188999999999999E-2</v>
      </c>
      <c r="F39" s="73">
        <f t="shared" si="2"/>
        <v>127.70975147937203</v>
      </c>
      <c r="G39" s="73">
        <f t="shared" si="0"/>
        <v>129.2992270462843</v>
      </c>
      <c r="H39" s="73">
        <f t="shared" si="3"/>
        <v>119.37783362217822</v>
      </c>
      <c r="I39" s="73">
        <f t="shared" si="1"/>
        <v>121.31044137068766</v>
      </c>
      <c r="Q39" s="75"/>
      <c r="R39" s="75"/>
      <c r="T39" s="75"/>
      <c r="U39" s="75"/>
      <c r="W39" s="75"/>
      <c r="X39" s="75"/>
    </row>
    <row r="40" spans="1:24" ht="15">
      <c r="A40" s="71">
        <v>44274</v>
      </c>
      <c r="B40" s="70" t="s">
        <v>157</v>
      </c>
      <c r="C40" s="70" t="s">
        <v>153</v>
      </c>
      <c r="D40" s="72">
        <v>4.5918E-2</v>
      </c>
      <c r="E40" s="72">
        <v>1.7711999999999999E-2</v>
      </c>
      <c r="F40" s="73">
        <f t="shared" si="2"/>
        <v>129.2992270462843</v>
      </c>
      <c r="G40" s="73">
        <f t="shared" si="0"/>
        <v>135.23638895379557</v>
      </c>
      <c r="H40" s="73">
        <f t="shared" si="3"/>
        <v>121.31044137068766</v>
      </c>
      <c r="I40" s="73">
        <f t="shared" si="1"/>
        <v>123.45909190824527</v>
      </c>
      <c r="Q40" s="75"/>
      <c r="R40" s="75"/>
      <c r="T40" s="75"/>
      <c r="U40" s="75"/>
      <c r="W40" s="75"/>
      <c r="X40" s="75"/>
    </row>
    <row r="41" spans="1:24" ht="15">
      <c r="A41" s="71">
        <v>44305</v>
      </c>
      <c r="B41" s="70" t="s">
        <v>158</v>
      </c>
      <c r="C41" s="70" t="s">
        <v>155</v>
      </c>
      <c r="D41" s="72">
        <v>3.8231000000000001E-2</v>
      </c>
      <c r="E41" s="72">
        <v>1.8495000000000001E-2</v>
      </c>
      <c r="F41" s="73">
        <f t="shared" si="2"/>
        <v>135.23638895379557</v>
      </c>
      <c r="G41" s="73">
        <f t="shared" si="0"/>
        <v>140.40661133988812</v>
      </c>
      <c r="H41" s="73">
        <f t="shared" si="3"/>
        <v>123.45909190824527</v>
      </c>
      <c r="I41" s="73">
        <f t="shared" si="1"/>
        <v>125.74246781308825</v>
      </c>
      <c r="Q41" s="75"/>
      <c r="R41" s="75"/>
      <c r="T41" s="75"/>
      <c r="U41" s="75"/>
      <c r="W41" s="75"/>
      <c r="X41" s="75"/>
    </row>
    <row r="42" spans="1:24" ht="15">
      <c r="A42" s="74">
        <v>44335</v>
      </c>
      <c r="B42" s="70" t="s">
        <v>158</v>
      </c>
      <c r="C42" s="70" t="s">
        <v>155</v>
      </c>
      <c r="D42" s="72">
        <v>-5.7279999999999998E-2</v>
      </c>
      <c r="E42" s="72">
        <v>-2.2259999999999999E-2</v>
      </c>
      <c r="F42" s="73">
        <f t="shared" si="2"/>
        <v>140.40661133988812</v>
      </c>
      <c r="G42" s="73">
        <f t="shared" si="0"/>
        <v>132.36412064233932</v>
      </c>
      <c r="H42" s="73">
        <f t="shared" si="3"/>
        <v>125.74246781308825</v>
      </c>
      <c r="I42" s="73">
        <f t="shared" si="1"/>
        <v>122.94344047956892</v>
      </c>
      <c r="Q42" s="75"/>
      <c r="R42" s="75"/>
      <c r="T42" s="75"/>
      <c r="U42" s="75"/>
      <c r="W42" s="75"/>
      <c r="X42" s="75"/>
    </row>
    <row r="43" spans="1:24" ht="15">
      <c r="A43" s="71">
        <v>44366</v>
      </c>
      <c r="B43" s="70" t="s">
        <v>160</v>
      </c>
      <c r="C43" s="70" t="s">
        <v>153</v>
      </c>
      <c r="D43" s="72">
        <v>6.5550000000000001E-3</v>
      </c>
      <c r="E43" s="72">
        <v>4.3827999999999999E-2</v>
      </c>
      <c r="F43" s="73">
        <f t="shared" si="2"/>
        <v>132.36412064233932</v>
      </c>
      <c r="G43" s="73">
        <f t="shared" si="0"/>
        <v>133.23176745314987</v>
      </c>
      <c r="H43" s="73">
        <f t="shared" si="3"/>
        <v>122.94344047956892</v>
      </c>
      <c r="I43" s="73">
        <f t="shared" si="1"/>
        <v>128.33180558890746</v>
      </c>
      <c r="Q43" s="75"/>
      <c r="R43" s="75"/>
      <c r="T43" s="75"/>
      <c r="U43" s="75"/>
      <c r="W43" s="75"/>
      <c r="X43" s="75"/>
    </row>
    <row r="44" spans="1:24" ht="15">
      <c r="A44" s="71">
        <v>44396</v>
      </c>
      <c r="B44" s="70" t="s">
        <v>164</v>
      </c>
      <c r="C44" s="70" t="s">
        <v>153</v>
      </c>
      <c r="D44" s="72">
        <v>1.01E-2</v>
      </c>
      <c r="E44" s="72">
        <v>-1.4499999999999999E-3</v>
      </c>
      <c r="F44" s="73">
        <f t="shared" si="2"/>
        <v>133.23176745314987</v>
      </c>
      <c r="G44" s="73">
        <f t="shared" si="0"/>
        <v>134.57740830442668</v>
      </c>
      <c r="H44" s="73">
        <f t="shared" si="3"/>
        <v>128.33180558890746</v>
      </c>
      <c r="I44" s="73">
        <f t="shared" si="1"/>
        <v>128.14572447080354</v>
      </c>
      <c r="Q44" s="75"/>
      <c r="R44" s="75"/>
      <c r="T44" s="75"/>
      <c r="U44" s="75"/>
      <c r="W44" s="75"/>
      <c r="X44" s="75"/>
    </row>
    <row r="45" spans="1:24" ht="15">
      <c r="A45" s="71">
        <v>44427</v>
      </c>
      <c r="B45" s="70" t="s">
        <v>164</v>
      </c>
      <c r="C45" s="70" t="s">
        <v>153</v>
      </c>
      <c r="D45" s="72">
        <v>3.4132999999999997E-2</v>
      </c>
      <c r="E45" s="72">
        <v>3.7759999999999998E-3</v>
      </c>
      <c r="F45" s="73">
        <f t="shared" si="2"/>
        <v>134.57740830442668</v>
      </c>
      <c r="G45" s="73">
        <f t="shared" si="0"/>
        <v>139.17093898208168</v>
      </c>
      <c r="H45" s="73">
        <f t="shared" si="3"/>
        <v>128.14572447080354</v>
      </c>
      <c r="I45" s="73">
        <f t="shared" si="1"/>
        <v>128.6296027264053</v>
      </c>
      <c r="Q45" s="75"/>
      <c r="R45" s="75"/>
      <c r="T45" s="75"/>
      <c r="U45" s="75"/>
      <c r="W45" s="75"/>
      <c r="X45" s="75"/>
    </row>
    <row r="46" spans="1:24" ht="15">
      <c r="A46" s="71">
        <v>44458</v>
      </c>
      <c r="B46" s="70" t="s">
        <v>157</v>
      </c>
      <c r="C46" s="70" t="s">
        <v>153</v>
      </c>
      <c r="D46" s="72">
        <v>-5.2100000000000002E-3</v>
      </c>
      <c r="E46" s="72">
        <v>1.0088E-2</v>
      </c>
      <c r="F46" s="73">
        <f t="shared" si="2"/>
        <v>139.17093898208168</v>
      </c>
      <c r="G46" s="73">
        <f t="shared" si="0"/>
        <v>138.44585838998503</v>
      </c>
      <c r="H46" s="73">
        <f t="shared" si="3"/>
        <v>128.6296027264053</v>
      </c>
      <c r="I46" s="73">
        <f t="shared" si="1"/>
        <v>129.92721815870928</v>
      </c>
      <c r="Q46" s="75"/>
      <c r="R46" s="75"/>
      <c r="T46" s="75"/>
      <c r="U46" s="75"/>
      <c r="W46" s="75"/>
      <c r="X46" s="75"/>
    </row>
    <row r="47" spans="1:24" ht="15">
      <c r="A47" s="71">
        <v>44488</v>
      </c>
      <c r="B47" s="70" t="s">
        <v>164</v>
      </c>
      <c r="C47" s="70" t="s">
        <v>153</v>
      </c>
      <c r="D47" s="72">
        <v>8.8079999999999999E-3</v>
      </c>
      <c r="E47" s="72">
        <v>1.7233999999999999E-2</v>
      </c>
      <c r="F47" s="73">
        <f t="shared" si="2"/>
        <v>138.44585838998503</v>
      </c>
      <c r="G47" s="73">
        <f t="shared" si="0"/>
        <v>139.665289510684</v>
      </c>
      <c r="H47" s="73">
        <f t="shared" si="3"/>
        <v>129.92721815870928</v>
      </c>
      <c r="I47" s="73">
        <f t="shared" si="1"/>
        <v>132.16638383645648</v>
      </c>
      <c r="Q47" s="75"/>
      <c r="R47" s="75"/>
      <c r="T47" s="75"/>
      <c r="U47" s="75"/>
      <c r="W47" s="75"/>
      <c r="X47" s="75"/>
    </row>
    <row r="48" spans="1:24" ht="15">
      <c r="A48" s="71">
        <v>44519</v>
      </c>
      <c r="B48" s="70" t="s">
        <v>157</v>
      </c>
      <c r="C48" s="70" t="s">
        <v>153</v>
      </c>
      <c r="D48" s="72">
        <v>2.2789E-2</v>
      </c>
      <c r="E48" s="72">
        <v>1.1998E-2</v>
      </c>
      <c r="F48" s="73">
        <f t="shared" si="2"/>
        <v>139.665289510684</v>
      </c>
      <c r="G48" s="73">
        <f t="shared" si="0"/>
        <v>142.84812179334298</v>
      </c>
      <c r="H48" s="73">
        <f t="shared" si="3"/>
        <v>132.16638383645648</v>
      </c>
      <c r="I48" s="73">
        <f t="shared" si="1"/>
        <v>133.75211610972627</v>
      </c>
      <c r="Q48" s="75"/>
      <c r="R48" s="75"/>
      <c r="T48" s="75"/>
      <c r="U48" s="75"/>
      <c r="W48" s="75"/>
      <c r="X48" s="75"/>
    </row>
    <row r="49" spans="1:24" ht="15">
      <c r="A49" s="71">
        <v>44549</v>
      </c>
      <c r="B49" s="70" t="s">
        <v>158</v>
      </c>
      <c r="C49" s="70" t="s">
        <v>155</v>
      </c>
      <c r="D49" s="72">
        <v>3.1343000000000003E-2</v>
      </c>
      <c r="E49" s="72">
        <v>1.3651999999999999E-2</v>
      </c>
      <c r="F49" s="73">
        <f t="shared" si="2"/>
        <v>142.84812179334298</v>
      </c>
      <c r="G49" s="73">
        <f t="shared" si="0"/>
        <v>147.32541047471173</v>
      </c>
      <c r="H49" s="73">
        <f t="shared" si="3"/>
        <v>133.75211610972627</v>
      </c>
      <c r="I49" s="73">
        <f t="shared" si="1"/>
        <v>135.57809999885626</v>
      </c>
      <c r="Q49" s="75"/>
      <c r="R49" s="75"/>
      <c r="T49" s="75"/>
      <c r="U49" s="75"/>
      <c r="W49" s="75"/>
      <c r="X49" s="75"/>
    </row>
    <row r="50" spans="1:24" ht="15">
      <c r="A50" s="71">
        <v>44216</v>
      </c>
      <c r="B50" s="70" t="s">
        <v>158</v>
      </c>
      <c r="C50" s="70" t="s">
        <v>155</v>
      </c>
      <c r="D50" s="72">
        <v>1.6404999999999999E-2</v>
      </c>
      <c r="E50" s="72">
        <v>5.2119999999999996E-3</v>
      </c>
      <c r="F50" s="73">
        <f t="shared" si="2"/>
        <v>147.32541047471173</v>
      </c>
      <c r="G50" s="73">
        <f t="shared" si="0"/>
        <v>149.74228383354938</v>
      </c>
      <c r="H50" s="73">
        <f t="shared" si="3"/>
        <v>135.57809999885626</v>
      </c>
      <c r="I50" s="73">
        <f t="shared" si="1"/>
        <v>136.2847330560503</v>
      </c>
      <c r="Q50" s="75"/>
      <c r="R50" s="75"/>
      <c r="T50" s="75"/>
      <c r="U50" s="75"/>
      <c r="W50" s="75"/>
      <c r="X50" s="75"/>
    </row>
    <row r="51" spans="1:24" ht="15">
      <c r="A51" s="71">
        <v>44247</v>
      </c>
      <c r="B51" s="70" t="s">
        <v>157</v>
      </c>
      <c r="C51" s="70" t="s">
        <v>153</v>
      </c>
      <c r="D51" s="72">
        <v>-9.8399999999999998E-3</v>
      </c>
      <c r="E51" s="72">
        <v>-3.5439999999999999E-2</v>
      </c>
      <c r="F51" s="73">
        <f t="shared" si="2"/>
        <v>149.74228383354938</v>
      </c>
      <c r="G51" s="73">
        <f t="shared" si="0"/>
        <v>148.26881976062725</v>
      </c>
      <c r="H51" s="73">
        <f t="shared" si="3"/>
        <v>136.2847330560503</v>
      </c>
      <c r="I51" s="73">
        <f t="shared" si="1"/>
        <v>131.45480211654387</v>
      </c>
      <c r="Q51" s="75"/>
      <c r="R51" s="75"/>
      <c r="T51" s="75"/>
      <c r="U51" s="75"/>
      <c r="W51" s="75"/>
      <c r="X51" s="75"/>
    </row>
    <row r="52" spans="1:24" ht="15">
      <c r="A52" s="71">
        <v>44275</v>
      </c>
      <c r="B52" s="70" t="s">
        <v>160</v>
      </c>
      <c r="C52" s="70" t="s">
        <v>153</v>
      </c>
      <c r="D52" s="72">
        <v>3.2976999999999999E-2</v>
      </c>
      <c r="E52" s="72">
        <v>-6.9159999999999999E-2</v>
      </c>
      <c r="F52" s="73">
        <f t="shared" si="2"/>
        <v>148.26881976062725</v>
      </c>
      <c r="G52" s="73">
        <f t="shared" si="0"/>
        <v>153.15828062987347</v>
      </c>
      <c r="H52" s="73">
        <f t="shared" si="3"/>
        <v>131.45480211654387</v>
      </c>
      <c r="I52" s="73">
        <f t="shared" si="1"/>
        <v>122.3633880021637</v>
      </c>
      <c r="Q52" s="75"/>
      <c r="R52" s="75"/>
      <c r="T52" s="75"/>
      <c r="U52" s="75"/>
      <c r="W52" s="75"/>
      <c r="X52" s="75"/>
    </row>
    <row r="53" spans="1:24" ht="15">
      <c r="A53" s="71">
        <v>44306</v>
      </c>
      <c r="B53" s="70" t="s">
        <v>160</v>
      </c>
      <c r="C53" s="70" t="s">
        <v>153</v>
      </c>
      <c r="D53" s="72">
        <v>6.5030000000000001E-3</v>
      </c>
      <c r="E53" s="72">
        <v>5.7951000000000003E-2</v>
      </c>
      <c r="F53" s="73">
        <f t="shared" si="2"/>
        <v>153.15828062987347</v>
      </c>
      <c r="G53" s="73">
        <f t="shared" si="0"/>
        <v>154.15426892880953</v>
      </c>
      <c r="H53" s="73">
        <f t="shared" si="3"/>
        <v>122.3633880021637</v>
      </c>
      <c r="I53" s="73">
        <f t="shared" si="1"/>
        <v>129.45446870027709</v>
      </c>
      <c r="Q53" s="75"/>
      <c r="R53" s="75"/>
      <c r="T53" s="75"/>
      <c r="U53" s="75"/>
      <c r="W53" s="75"/>
      <c r="X53" s="75"/>
    </row>
    <row r="54" spans="1:24" ht="15">
      <c r="A54" s="74">
        <v>44336</v>
      </c>
      <c r="B54" s="70" t="s">
        <v>160</v>
      </c>
      <c r="C54" s="70" t="s">
        <v>153</v>
      </c>
      <c r="D54" s="72">
        <v>-7.5199999999999998E-3</v>
      </c>
      <c r="E54" s="72">
        <v>3.3779000000000003E-2</v>
      </c>
      <c r="F54" s="73">
        <f t="shared" si="2"/>
        <v>154.15426892880953</v>
      </c>
      <c r="G54" s="73">
        <f t="shared" si="0"/>
        <v>152.99502882646487</v>
      </c>
      <c r="H54" s="73">
        <f t="shared" si="3"/>
        <v>129.45446870027709</v>
      </c>
      <c r="I54" s="73">
        <f t="shared" si="1"/>
        <v>133.82731119850376</v>
      </c>
      <c r="Q54" s="75"/>
      <c r="R54" s="75"/>
      <c r="T54" s="75"/>
      <c r="U54" s="75"/>
      <c r="W54" s="75"/>
      <c r="X54" s="75"/>
    </row>
    <row r="55" spans="1:24" ht="15">
      <c r="A55" s="71">
        <v>44367</v>
      </c>
      <c r="B55" s="70" t="s">
        <v>157</v>
      </c>
      <c r="C55" s="70" t="s">
        <v>153</v>
      </c>
      <c r="D55" s="72">
        <v>3.9058000000000002E-2</v>
      </c>
      <c r="E55" s="72">
        <v>1.7564E-2</v>
      </c>
      <c r="F55" s="73">
        <f t="shared" si="2"/>
        <v>152.99502882646487</v>
      </c>
      <c r="G55" s="73">
        <f t="shared" si="0"/>
        <v>158.97070866236893</v>
      </c>
      <c r="H55" s="73">
        <f t="shared" si="3"/>
        <v>133.82731119850376</v>
      </c>
      <c r="I55" s="73">
        <f t="shared" si="1"/>
        <v>136.17785409239428</v>
      </c>
      <c r="N55" s="75"/>
      <c r="O55" s="75"/>
      <c r="Q55" s="75"/>
      <c r="R55" s="75"/>
      <c r="T55" s="75"/>
      <c r="U55" s="75"/>
      <c r="W55" s="75"/>
      <c r="X55" s="75"/>
    </row>
    <row r="56" spans="1:24" ht="15">
      <c r="A56" s="71">
        <v>44397</v>
      </c>
      <c r="B56" s="70" t="s">
        <v>158</v>
      </c>
      <c r="C56" s="70" t="s">
        <v>155</v>
      </c>
      <c r="D56" s="72">
        <v>6.5683000000000005E-2</v>
      </c>
      <c r="E56" s="72">
        <v>2.6463E-2</v>
      </c>
      <c r="F56" s="73">
        <f t="shared" si="2"/>
        <v>158.97070866236893</v>
      </c>
      <c r="G56" s="73">
        <f t="shared" si="0"/>
        <v>169.41238171943931</v>
      </c>
      <c r="H56" s="73">
        <f t="shared" si="3"/>
        <v>136.17785409239428</v>
      </c>
      <c r="I56" s="73">
        <f t="shared" si="1"/>
        <v>139.78152864524131</v>
      </c>
      <c r="N56" s="75"/>
      <c r="O56" s="75"/>
      <c r="Q56" s="75"/>
      <c r="R56" s="75"/>
      <c r="T56" s="75"/>
      <c r="U56" s="75"/>
      <c r="W56" s="75"/>
      <c r="X56" s="75"/>
    </row>
    <row r="57" spans="1:24" ht="15">
      <c r="A57" s="71">
        <v>44428</v>
      </c>
      <c r="B57" s="70" t="s">
        <v>158</v>
      </c>
      <c r="C57" s="70" t="s">
        <v>155</v>
      </c>
      <c r="D57" s="72">
        <v>6.6103999999999996E-2</v>
      </c>
      <c r="E57" s="72">
        <v>3.1600999999999997E-2</v>
      </c>
      <c r="F57" s="73">
        <f t="shared" si="2"/>
        <v>169.41238171943931</v>
      </c>
      <c r="G57" s="73">
        <f t="shared" si="0"/>
        <v>180.61121780062112</v>
      </c>
      <c r="H57" s="73">
        <f t="shared" si="3"/>
        <v>139.78152864524131</v>
      </c>
      <c r="I57" s="73">
        <f t="shared" si="1"/>
        <v>144.19876473195959</v>
      </c>
      <c r="N57" s="75"/>
      <c r="O57" s="75"/>
      <c r="Q57" s="75"/>
      <c r="R57" s="75"/>
      <c r="T57" s="75"/>
      <c r="U57" s="75"/>
      <c r="W57" s="75"/>
      <c r="X57" s="75"/>
    </row>
    <row r="58" spans="1:24" ht="15">
      <c r="A58" s="71">
        <v>44459</v>
      </c>
      <c r="B58" s="70" t="s">
        <v>158</v>
      </c>
      <c r="C58" s="70" t="s">
        <v>155</v>
      </c>
      <c r="D58" s="72">
        <v>-3.7850000000000002E-2</v>
      </c>
      <c r="E58" s="72">
        <v>-1.546E-2</v>
      </c>
      <c r="F58" s="73">
        <f t="shared" si="2"/>
        <v>180.61121780062112</v>
      </c>
      <c r="G58" s="73">
        <f t="shared" si="0"/>
        <v>173.77508320686761</v>
      </c>
      <c r="H58" s="73">
        <f t="shared" si="3"/>
        <v>144.19876473195959</v>
      </c>
      <c r="I58" s="73">
        <f t="shared" si="1"/>
        <v>141.96945182920348</v>
      </c>
      <c r="N58" s="75"/>
      <c r="O58" s="75"/>
      <c r="Q58" s="75"/>
      <c r="R58" s="75"/>
      <c r="T58" s="75"/>
      <c r="U58" s="75"/>
      <c r="W58" s="75"/>
      <c r="X58" s="75"/>
    </row>
    <row r="59" spans="1:24" ht="15">
      <c r="A59" s="71">
        <v>44489</v>
      </c>
      <c r="B59" s="70" t="s">
        <v>158</v>
      </c>
      <c r="C59" s="70" t="s">
        <v>155</v>
      </c>
      <c r="D59" s="72">
        <v>-1.6410000000000001E-2</v>
      </c>
      <c r="E59" s="72">
        <v>-2.2020000000000001E-2</v>
      </c>
      <c r="F59" s="73">
        <f t="shared" si="2"/>
        <v>173.77508320686761</v>
      </c>
      <c r="G59" s="73">
        <f t="shared" si="0"/>
        <v>170.92343409144291</v>
      </c>
      <c r="H59" s="73">
        <f t="shared" si="3"/>
        <v>141.96945182920348</v>
      </c>
      <c r="I59" s="73">
        <f t="shared" si="1"/>
        <v>138.84328449992441</v>
      </c>
      <c r="N59" s="75"/>
      <c r="O59" s="75"/>
      <c r="Q59" s="75"/>
      <c r="R59" s="75"/>
      <c r="T59" s="75"/>
      <c r="U59" s="75"/>
      <c r="W59" s="75"/>
      <c r="X59" s="75"/>
    </row>
    <row r="60" spans="1:24" ht="15">
      <c r="A60" s="71">
        <v>44520</v>
      </c>
      <c r="B60" s="70" t="s">
        <v>152</v>
      </c>
      <c r="C60" s="70" t="s">
        <v>153</v>
      </c>
      <c r="D60" s="72">
        <v>0.123616</v>
      </c>
      <c r="E60" s="72">
        <v>7.9570000000000002E-2</v>
      </c>
      <c r="F60" s="73">
        <f t="shared" si="2"/>
        <v>170.92343409144291</v>
      </c>
      <c r="G60" s="73">
        <f t="shared" si="0"/>
        <v>192.05230532009071</v>
      </c>
      <c r="H60" s="73">
        <f t="shared" si="3"/>
        <v>138.84328449992441</v>
      </c>
      <c r="I60" s="73">
        <f t="shared" si="1"/>
        <v>149.89104464758339</v>
      </c>
      <c r="N60" s="75"/>
      <c r="O60" s="75"/>
      <c r="Q60" s="75"/>
      <c r="R60" s="75"/>
      <c r="T60" s="75"/>
      <c r="U60" s="75"/>
      <c r="W60" s="75"/>
      <c r="X60" s="75"/>
    </row>
    <row r="61" spans="1:24" ht="15">
      <c r="A61" s="71">
        <v>44550</v>
      </c>
      <c r="B61" s="70" t="s">
        <v>152</v>
      </c>
      <c r="C61" s="70" t="s">
        <v>153</v>
      </c>
      <c r="D61" s="72">
        <v>6.0384E-2</v>
      </c>
      <c r="E61" s="72">
        <v>2.8118000000000001E-2</v>
      </c>
      <c r="F61" s="73">
        <f t="shared" si="2"/>
        <v>192.05230532009071</v>
      </c>
      <c r="G61" s="73">
        <f t="shared" si="0"/>
        <v>203.64919172453907</v>
      </c>
      <c r="H61" s="73">
        <f t="shared" si="3"/>
        <v>149.89104464758339</v>
      </c>
      <c r="I61" s="73">
        <f t="shared" si="1"/>
        <v>154.10568104098414</v>
      </c>
      <c r="N61" s="75"/>
      <c r="O61" s="75"/>
      <c r="Q61" s="75"/>
      <c r="R61" s="75"/>
      <c r="T61" s="75"/>
      <c r="U61" s="75"/>
      <c r="W61" s="75"/>
      <c r="X61" s="75"/>
    </row>
    <row r="62" spans="1:24" ht="15">
      <c r="A62" s="71">
        <v>44217</v>
      </c>
      <c r="B62" s="70" t="s">
        <v>152</v>
      </c>
      <c r="C62" s="70" t="s">
        <v>153</v>
      </c>
      <c r="D62" s="72">
        <v>2.7089999999999999E-2</v>
      </c>
      <c r="E62" s="72">
        <v>-7.7099999999999998E-3</v>
      </c>
      <c r="F62" s="73">
        <f t="shared" si="2"/>
        <v>203.64919172453907</v>
      </c>
      <c r="G62" s="73">
        <f t="shared" si="0"/>
        <v>209.16604832835685</v>
      </c>
      <c r="H62" s="73">
        <f t="shared" si="3"/>
        <v>154.10568104098414</v>
      </c>
      <c r="I62" s="73">
        <f t="shared" si="1"/>
        <v>152.91752624015814</v>
      </c>
      <c r="J62" s="75"/>
      <c r="K62" s="75"/>
      <c r="N62" s="75"/>
      <c r="O62" s="75"/>
      <c r="Q62" s="75"/>
      <c r="R62" s="75"/>
      <c r="T62" s="75"/>
      <c r="U62" s="75"/>
      <c r="W62" s="75"/>
      <c r="X62" s="75"/>
    </row>
    <row r="63" spans="1:24" ht="15">
      <c r="A63" s="71">
        <v>44248</v>
      </c>
      <c r="B63" s="70" t="s">
        <v>152</v>
      </c>
      <c r="C63" s="70" t="s">
        <v>153</v>
      </c>
      <c r="D63" s="72">
        <v>3.7817000000000003E-2</v>
      </c>
      <c r="E63" s="72">
        <v>6.6769999999999998E-3</v>
      </c>
      <c r="F63" s="73">
        <f t="shared" si="2"/>
        <v>209.16604832835685</v>
      </c>
      <c r="G63" s="73">
        <f t="shared" si="0"/>
        <v>217.07608077799031</v>
      </c>
      <c r="H63" s="73">
        <f t="shared" si="3"/>
        <v>152.91752624015814</v>
      </c>
      <c r="I63" s="73">
        <f t="shared" si="1"/>
        <v>153.93855656286368</v>
      </c>
      <c r="J63" s="75"/>
      <c r="K63" s="75"/>
      <c r="N63" s="75"/>
      <c r="O63" s="75"/>
      <c r="Q63" s="75"/>
      <c r="R63" s="75"/>
      <c r="T63" s="75"/>
      <c r="U63" s="75"/>
      <c r="W63" s="75"/>
      <c r="X63" s="75"/>
    </row>
    <row r="64" spans="1:24" ht="15">
      <c r="A64" s="71">
        <v>44276</v>
      </c>
      <c r="B64" s="70" t="s">
        <v>152</v>
      </c>
      <c r="C64" s="70" t="s">
        <v>153</v>
      </c>
      <c r="D64" s="72">
        <v>1.2197E-2</v>
      </c>
      <c r="E64" s="72">
        <v>8.9320000000000007E-3</v>
      </c>
      <c r="F64" s="73">
        <f t="shared" si="2"/>
        <v>217.07608077799031</v>
      </c>
      <c r="G64" s="73">
        <f t="shared" si="0"/>
        <v>219.72375773523947</v>
      </c>
      <c r="H64" s="73">
        <f t="shared" si="3"/>
        <v>153.93855656286368</v>
      </c>
      <c r="I64" s="73">
        <f t="shared" si="1"/>
        <v>155.31353575008316</v>
      </c>
      <c r="J64" s="75"/>
      <c r="K64" s="75"/>
      <c r="N64" s="75"/>
      <c r="O64" s="75"/>
      <c r="Q64" s="75"/>
      <c r="R64" s="75"/>
      <c r="T64" s="75"/>
      <c r="U64" s="75"/>
      <c r="W64" s="75"/>
      <c r="X64" s="75"/>
    </row>
    <row r="65" spans="1:25" ht="15">
      <c r="A65" s="71">
        <v>44307</v>
      </c>
      <c r="B65" s="70" t="s">
        <v>154</v>
      </c>
      <c r="C65" s="70" t="s">
        <v>155</v>
      </c>
      <c r="D65" s="72">
        <v>2.8806999999999999E-2</v>
      </c>
      <c r="E65" s="72">
        <v>2.7969999999999998E-2</v>
      </c>
      <c r="F65" s="73">
        <f t="shared" si="2"/>
        <v>219.72375773523947</v>
      </c>
      <c r="G65" s="73">
        <f t="shared" si="0"/>
        <v>226.05334002431852</v>
      </c>
      <c r="H65" s="73">
        <f t="shared" si="3"/>
        <v>155.31353575008316</v>
      </c>
      <c r="I65" s="73">
        <f t="shared" si="1"/>
        <v>159.65765534501298</v>
      </c>
      <c r="J65" s="75"/>
      <c r="K65" s="75"/>
      <c r="N65" s="75"/>
      <c r="O65" s="75"/>
      <c r="Q65" s="75"/>
      <c r="R65" s="75"/>
      <c r="T65" s="75"/>
      <c r="U65" s="75"/>
      <c r="W65" s="75"/>
      <c r="X65" s="75"/>
    </row>
    <row r="66" spans="1:25" ht="15">
      <c r="A66" s="74">
        <v>44337</v>
      </c>
      <c r="B66" s="70" t="s">
        <v>154</v>
      </c>
      <c r="C66" s="70" t="s">
        <v>155</v>
      </c>
      <c r="D66" s="72">
        <v>1.7240000000000001E-3</v>
      </c>
      <c r="E66" s="72">
        <v>1.3516E-2</v>
      </c>
      <c r="F66" s="73">
        <f t="shared" si="2"/>
        <v>226.05334002431852</v>
      </c>
      <c r="G66" s="73">
        <f t="shared" si="0"/>
        <v>226.44305598252046</v>
      </c>
      <c r="H66" s="73">
        <f t="shared" si="3"/>
        <v>159.65765534501298</v>
      </c>
      <c r="I66" s="73">
        <f t="shared" si="1"/>
        <v>161.8155882146562</v>
      </c>
      <c r="J66" s="75"/>
      <c r="K66" s="75"/>
      <c r="N66" s="75"/>
      <c r="O66" s="75"/>
      <c r="Q66" s="75"/>
      <c r="R66" s="75"/>
      <c r="T66" s="75"/>
      <c r="U66" s="75"/>
      <c r="W66" s="75"/>
      <c r="X66" s="75"/>
    </row>
    <row r="67" spans="1:25" ht="15">
      <c r="A67" s="71">
        <v>44368</v>
      </c>
      <c r="B67" s="70" t="s">
        <v>156</v>
      </c>
      <c r="C67" s="70" t="s">
        <v>155</v>
      </c>
      <c r="D67" s="112">
        <v>1.8799999999999997E-2</v>
      </c>
      <c r="E67" s="112">
        <v>8.3000000000000001E-3</v>
      </c>
      <c r="F67" s="73">
        <f t="shared" si="2"/>
        <v>226.44305598252046</v>
      </c>
      <c r="G67" s="73">
        <f t="shared" si="0"/>
        <v>230.70018543499182</v>
      </c>
      <c r="H67" s="73">
        <f t="shared" si="3"/>
        <v>161.8155882146562</v>
      </c>
      <c r="I67" s="73">
        <f t="shared" si="1"/>
        <v>163.15865759683786</v>
      </c>
      <c r="J67" s="75"/>
      <c r="K67" s="75"/>
      <c r="L67" s="72"/>
      <c r="M67" s="13"/>
      <c r="N67" s="75"/>
      <c r="O67" s="75"/>
      <c r="P67" s="72"/>
      <c r="Q67" s="75"/>
      <c r="R67" s="75"/>
      <c r="S67" s="72"/>
      <c r="T67" s="75"/>
      <c r="U67" s="75"/>
      <c r="V67" s="72"/>
      <c r="W67" s="75"/>
      <c r="X67" s="75"/>
      <c r="Y67" s="72"/>
    </row>
    <row r="68" spans="1:25" ht="15">
      <c r="A68" s="76">
        <v>44407</v>
      </c>
      <c r="B68" s="18" t="s">
        <v>157</v>
      </c>
      <c r="C68" s="70" t="s">
        <v>153</v>
      </c>
      <c r="D68" s="112">
        <v>3.2000000000000001E-2</v>
      </c>
      <c r="E68" s="112">
        <v>1.55E-2</v>
      </c>
      <c r="F68" s="73">
        <f t="shared" si="2"/>
        <v>230.70018543499182</v>
      </c>
      <c r="G68" s="73">
        <f t="shared" si="0"/>
        <v>238.08259136891158</v>
      </c>
      <c r="H68" s="73">
        <f t="shared" si="3"/>
        <v>163.15865759683786</v>
      </c>
      <c r="I68" s="73">
        <f t="shared" si="1"/>
        <v>165.68761678958884</v>
      </c>
      <c r="J68" s="77"/>
      <c r="K68" s="77"/>
      <c r="Y68" s="72"/>
    </row>
    <row r="69" spans="1:25" ht="15">
      <c r="A69" s="76">
        <v>44439</v>
      </c>
      <c r="B69" s="18" t="s">
        <v>157</v>
      </c>
      <c r="C69" s="70" t="s">
        <v>153</v>
      </c>
      <c r="D69" s="112">
        <v>2.3900000000000001E-2</v>
      </c>
      <c r="E69" s="112">
        <v>1.1299999999999999E-2</v>
      </c>
      <c r="F69" s="73">
        <f t="shared" si="2"/>
        <v>238.08259136891158</v>
      </c>
      <c r="G69" s="73">
        <f t="shared" si="0"/>
        <v>243.77276530262859</v>
      </c>
      <c r="H69" s="73">
        <f t="shared" si="3"/>
        <v>165.68761678958884</v>
      </c>
      <c r="I69" s="73">
        <f t="shared" si="1"/>
        <v>167.55988685931121</v>
      </c>
      <c r="J69" s="77"/>
      <c r="K69" s="72"/>
      <c r="Y69" s="72"/>
    </row>
    <row r="70" spans="1:25" ht="15">
      <c r="A70" s="76">
        <v>44469</v>
      </c>
      <c r="B70" s="18" t="s">
        <v>157</v>
      </c>
      <c r="C70" s="70" t="s">
        <v>153</v>
      </c>
      <c r="D70" s="112">
        <v>-4.5699999999999998E-2</v>
      </c>
      <c r="E70" s="72">
        <v>-2.9600000000000001E-2</v>
      </c>
      <c r="F70" s="73">
        <f t="shared" si="2"/>
        <v>243.77276530262859</v>
      </c>
      <c r="G70" s="73">
        <f t="shared" si="0"/>
        <v>232.63234992829848</v>
      </c>
      <c r="H70" s="73">
        <f t="shared" si="3"/>
        <v>167.55988685931121</v>
      </c>
      <c r="I70" s="73">
        <f t="shared" si="1"/>
        <v>162.60011420827561</v>
      </c>
      <c r="Y70" s="72"/>
    </row>
    <row r="71" spans="1:25" ht="15">
      <c r="A71" s="76">
        <v>44499</v>
      </c>
      <c r="B71" s="18" t="s">
        <v>157</v>
      </c>
      <c r="C71" s="70" t="s">
        <v>153</v>
      </c>
      <c r="D71" s="72">
        <v>5.7000000000000002E-2</v>
      </c>
      <c r="E71" s="72">
        <v>-1.6999999999999999E-3</v>
      </c>
      <c r="F71" s="73">
        <f t="shared" si="2"/>
        <v>232.63234992829848</v>
      </c>
      <c r="G71" s="73">
        <f t="shared" si="0"/>
        <v>245.89239387421148</v>
      </c>
      <c r="H71" s="73">
        <f t="shared" si="3"/>
        <v>162.60011420827561</v>
      </c>
      <c r="I71" s="73">
        <f t="shared" si="1"/>
        <v>162.32369401412154</v>
      </c>
    </row>
    <row r="72" spans="1:25" ht="15">
      <c r="A72" s="76">
        <v>44530</v>
      </c>
      <c r="B72" s="13" t="s">
        <v>169</v>
      </c>
      <c r="C72" s="70" t="s">
        <v>153</v>
      </c>
      <c r="D72" s="72">
        <v>6.7999999999999996E-3</v>
      </c>
      <c r="E72" s="72">
        <v>-8.0000000000000002E-3</v>
      </c>
      <c r="F72" s="73">
        <f t="shared" si="2"/>
        <v>245.89239387421148</v>
      </c>
      <c r="G72" s="73">
        <f t="shared" si="0"/>
        <v>247.5644621525561</v>
      </c>
      <c r="H72" s="73">
        <f t="shared" si="3"/>
        <v>162.32369401412154</v>
      </c>
      <c r="I72" s="73">
        <f t="shared" si="1"/>
        <v>161.02510446200856</v>
      </c>
    </row>
    <row r="81" spans="4:12" ht="12.75">
      <c r="D81" s="19"/>
      <c r="E81" s="19"/>
    </row>
    <row r="82" spans="4:12" ht="12.75">
      <c r="D82" s="19"/>
      <c r="E82" s="19"/>
    </row>
    <row r="83" spans="4:12" ht="12.75">
      <c r="D83" s="19"/>
      <c r="E83" s="19"/>
    </row>
    <row r="84" spans="4:12" ht="12.75">
      <c r="D84" s="19"/>
      <c r="E84" s="19"/>
    </row>
    <row r="85" spans="4:12" ht="12.75">
      <c r="D85" s="19"/>
      <c r="E85" s="19"/>
    </row>
    <row r="86" spans="4:12" ht="12.75">
      <c r="D86" s="19"/>
      <c r="E86" s="19"/>
      <c r="L86" s="19"/>
    </row>
    <row r="87" spans="4:12" ht="12.75">
      <c r="D87" s="19"/>
      <c r="E87" s="19"/>
    </row>
    <row r="88" spans="4:12" ht="12.75">
      <c r="D88" s="19"/>
      <c r="E88" s="19"/>
      <c r="L88" s="19"/>
    </row>
    <row r="89" spans="4:12" ht="12.75">
      <c r="D89" s="19"/>
      <c r="E89" s="19"/>
    </row>
    <row r="90" spans="4:12" ht="12.75">
      <c r="D90" s="19"/>
      <c r="E90" s="19"/>
    </row>
    <row r="91" spans="4:12" ht="12.75">
      <c r="D91" s="19"/>
      <c r="E91" s="19"/>
    </row>
    <row r="92" spans="4:12" ht="12.75">
      <c r="D92" s="19"/>
      <c r="E92" s="19"/>
    </row>
    <row r="93" spans="4:12" ht="12.75">
      <c r="D93" s="19"/>
      <c r="E93" s="19"/>
    </row>
    <row r="94" spans="4:12" ht="12.75">
      <c r="D94" s="19"/>
      <c r="E94" s="19"/>
    </row>
    <row r="95" spans="4:12" ht="12.75">
      <c r="D95" s="19"/>
      <c r="E95" s="19"/>
    </row>
    <row r="96" spans="4:12" ht="12.75">
      <c r="D96" s="19"/>
      <c r="E96" s="19"/>
    </row>
    <row r="97" spans="4:5" ht="12.75">
      <c r="D97" s="19"/>
      <c r="E97" s="19"/>
    </row>
    <row r="98" spans="4:5" ht="12.75">
      <c r="D98" s="19"/>
      <c r="E98" s="19"/>
    </row>
    <row r="99" spans="4:5" ht="12.75">
      <c r="D99" s="19"/>
      <c r="E99" s="19"/>
    </row>
    <row r="100" spans="4:5" ht="12.75">
      <c r="D100" s="19"/>
      <c r="E100" s="19"/>
    </row>
    <row r="101" spans="4:5" ht="12.75">
      <c r="D101" s="19"/>
      <c r="E101" s="19"/>
    </row>
    <row r="102" spans="4:5" ht="12.75">
      <c r="D102" s="19"/>
      <c r="E102" s="19"/>
    </row>
    <row r="103" spans="4:5" ht="12.75">
      <c r="D103" s="19"/>
      <c r="E103" s="19"/>
    </row>
    <row r="104" spans="4:5" ht="12.75">
      <c r="D104" s="19"/>
      <c r="E104" s="19"/>
    </row>
    <row r="105" spans="4:5" ht="12.75">
      <c r="D105" s="19"/>
      <c r="E105" s="19"/>
    </row>
    <row r="106" spans="4:5" ht="12.75">
      <c r="D106" s="19"/>
      <c r="E106" s="19"/>
    </row>
    <row r="107" spans="4:5" ht="12.75">
      <c r="D107" s="19"/>
      <c r="E107" s="19"/>
    </row>
    <row r="108" spans="4:5" ht="12.75">
      <c r="D108" s="19"/>
      <c r="E108" s="19"/>
    </row>
    <row r="109" spans="4:5" ht="12.75">
      <c r="D109" s="19"/>
      <c r="E109" s="19"/>
    </row>
    <row r="110" spans="4:5" ht="12.75">
      <c r="D110" s="19"/>
      <c r="E110" s="19"/>
    </row>
    <row r="111" spans="4:5" ht="12.75">
      <c r="D111" s="19"/>
      <c r="E111" s="19"/>
    </row>
    <row r="112" spans="4:5" ht="12.75">
      <c r="D112" s="19"/>
      <c r="E112" s="19"/>
    </row>
    <row r="113" spans="4:5" ht="12.75">
      <c r="D113" s="19"/>
      <c r="E113" s="19"/>
    </row>
    <row r="114" spans="4:5" ht="12.75">
      <c r="D114" s="19"/>
      <c r="E114" s="19"/>
    </row>
    <row r="115" spans="4:5" ht="12.75">
      <c r="D115" s="19"/>
      <c r="E115" s="19"/>
    </row>
    <row r="116" spans="4:5" ht="12.75">
      <c r="D116" s="19"/>
      <c r="E116" s="19"/>
    </row>
    <row r="117" spans="4:5" ht="12.75">
      <c r="D117" s="19"/>
      <c r="E117" s="19"/>
    </row>
    <row r="118" spans="4:5" ht="12.75">
      <c r="D118" s="19"/>
      <c r="E118" s="19"/>
    </row>
    <row r="119" spans="4:5" ht="12.75">
      <c r="D119" s="19"/>
      <c r="E119" s="19"/>
    </row>
    <row r="120" spans="4:5" ht="12.75">
      <c r="D120" s="19"/>
      <c r="E120" s="19"/>
    </row>
    <row r="121" spans="4:5" ht="12.75">
      <c r="D121" s="19"/>
      <c r="E121" s="19"/>
    </row>
    <row r="122" spans="4:5" ht="12.75">
      <c r="D122" s="19"/>
      <c r="E122" s="19"/>
    </row>
    <row r="123" spans="4:5" ht="12.75">
      <c r="D123" s="19"/>
      <c r="E123" s="19"/>
    </row>
    <row r="124" spans="4:5" ht="12.75">
      <c r="D124" s="19"/>
      <c r="E124" s="19"/>
    </row>
    <row r="125" spans="4:5" ht="12.75">
      <c r="D125" s="19"/>
      <c r="E125" s="19"/>
    </row>
    <row r="126" spans="4:5" ht="12.75">
      <c r="D126" s="19"/>
      <c r="E126" s="19"/>
    </row>
    <row r="127" spans="4:5" ht="12.75">
      <c r="D127" s="19"/>
      <c r="E127" s="19"/>
    </row>
    <row r="128" spans="4:5" ht="12.75">
      <c r="D128" s="19"/>
      <c r="E128" s="19"/>
    </row>
    <row r="129" spans="4:5" ht="12.75">
      <c r="D129" s="19"/>
      <c r="E129" s="19"/>
    </row>
    <row r="130" spans="4:5" ht="12.75">
      <c r="D130" s="19"/>
      <c r="E130" s="19"/>
    </row>
    <row r="131" spans="4:5" ht="12.75">
      <c r="D131" s="19"/>
      <c r="E131" s="19"/>
    </row>
    <row r="132" spans="4:5" ht="12.75">
      <c r="D132" s="19"/>
      <c r="E132" s="19"/>
    </row>
    <row r="133" spans="4:5" ht="12.75">
      <c r="D133" s="19"/>
      <c r="E133" s="19"/>
    </row>
    <row r="134" spans="4:5" ht="12.75">
      <c r="D134" s="19"/>
      <c r="E134" s="19"/>
    </row>
    <row r="135" spans="4:5" ht="12.75">
      <c r="D135" s="19"/>
      <c r="E135" s="19"/>
    </row>
    <row r="136" spans="4:5" ht="12.75">
      <c r="D136" s="19"/>
      <c r="E136" s="19"/>
    </row>
    <row r="137" spans="4:5" ht="12.75">
      <c r="D137" s="19"/>
      <c r="E137" s="19"/>
    </row>
    <row r="138" spans="4:5" ht="12.75">
      <c r="D138" s="19"/>
      <c r="E138" s="19"/>
    </row>
    <row r="139" spans="4:5" ht="12.75">
      <c r="D139" s="19"/>
      <c r="E139" s="19"/>
    </row>
    <row r="140" spans="4:5" ht="12.75">
      <c r="D140" s="19"/>
      <c r="E140" s="19"/>
    </row>
    <row r="141" spans="4:5" ht="12.75">
      <c r="D141" s="19"/>
      <c r="E141" s="19"/>
    </row>
    <row r="142" spans="4:5" ht="12.75">
      <c r="D142" s="19"/>
      <c r="E142" s="19"/>
    </row>
    <row r="143" spans="4:5" ht="12.75">
      <c r="D143" s="19"/>
      <c r="E143" s="19"/>
    </row>
    <row r="144" spans="4:5" ht="12.75">
      <c r="D144" s="19"/>
      <c r="E144" s="19"/>
    </row>
    <row r="145" spans="4:5" ht="12.75">
      <c r="D145" s="19"/>
      <c r="E145" s="19"/>
    </row>
    <row r="146" spans="4:5" ht="12.75">
      <c r="D146" s="19"/>
      <c r="E146" s="19"/>
    </row>
    <row r="147" spans="4:5" ht="12.75">
      <c r="D147" s="19"/>
      <c r="E147" s="19"/>
    </row>
    <row r="148" spans="4:5" ht="12.75">
      <c r="D148" s="19"/>
      <c r="E148" s="19"/>
    </row>
    <row r="149" spans="4:5" ht="12.75">
      <c r="D149" s="19"/>
      <c r="E149" s="19"/>
    </row>
    <row r="150" spans="4:5" ht="12.75">
      <c r="D150" s="19"/>
      <c r="E150" s="19"/>
    </row>
    <row r="151" spans="4:5" ht="12.75">
      <c r="D151" s="19"/>
      <c r="E151" s="19"/>
    </row>
    <row r="152" spans="4:5" ht="12.75">
      <c r="D152" s="19"/>
      <c r="E152" s="19"/>
    </row>
    <row r="153" spans="4:5" ht="12.75">
      <c r="D153" s="19"/>
      <c r="E153" s="19"/>
    </row>
    <row r="154" spans="4:5" ht="12.75">
      <c r="D154" s="19"/>
      <c r="E154" s="19"/>
    </row>
    <row r="155" spans="4:5" ht="12.75">
      <c r="D155" s="19"/>
      <c r="E155" s="19"/>
    </row>
    <row r="156" spans="4:5" ht="12.75">
      <c r="D156" s="19"/>
      <c r="E156" s="19"/>
    </row>
    <row r="157" spans="4:5" ht="12.75">
      <c r="D157" s="19"/>
      <c r="E157" s="19"/>
    </row>
    <row r="158" spans="4:5" ht="12.75">
      <c r="D158" s="19"/>
      <c r="E158" s="19"/>
    </row>
    <row r="159" spans="4:5" ht="12.75">
      <c r="D159" s="19"/>
      <c r="E159" s="19"/>
    </row>
    <row r="160" spans="4:5" ht="12.75">
      <c r="D160" s="19"/>
      <c r="E160" s="19"/>
    </row>
    <row r="161" spans="4:5" ht="12.75">
      <c r="D161" s="19"/>
      <c r="E161" s="19"/>
    </row>
    <row r="162" spans="4:5" ht="12.75">
      <c r="D162" s="19"/>
      <c r="E162" s="19"/>
    </row>
    <row r="163" spans="4:5" ht="12.75">
      <c r="D163" s="19"/>
      <c r="E163" s="19"/>
    </row>
    <row r="164" spans="4:5" ht="12.75">
      <c r="D164" s="19"/>
      <c r="E164" s="19"/>
    </row>
    <row r="165" spans="4:5" ht="12.75">
      <c r="D165" s="19"/>
      <c r="E165" s="19"/>
    </row>
    <row r="166" spans="4:5" ht="12.75">
      <c r="D166" s="19"/>
      <c r="E166" s="19"/>
    </row>
    <row r="167" spans="4:5" ht="12.75">
      <c r="D167" s="19"/>
      <c r="E167" s="19"/>
    </row>
    <row r="168" spans="4:5" ht="12.75">
      <c r="D168" s="19"/>
      <c r="E168" s="19"/>
    </row>
    <row r="169" spans="4:5" ht="12.75">
      <c r="D169" s="19"/>
      <c r="E169" s="19"/>
    </row>
    <row r="170" spans="4:5" ht="12.75">
      <c r="D170" s="19"/>
      <c r="E170" s="19"/>
    </row>
    <row r="171" spans="4:5" ht="12.75">
      <c r="D171" s="19"/>
      <c r="E171" s="19"/>
    </row>
    <row r="172" spans="4:5" ht="12.75">
      <c r="D172" s="19"/>
      <c r="E172" s="19"/>
    </row>
    <row r="173" spans="4:5" ht="12.75">
      <c r="D173" s="19"/>
      <c r="E173" s="19"/>
    </row>
    <row r="174" spans="4:5" ht="12.75">
      <c r="D174" s="19"/>
      <c r="E174" s="19"/>
    </row>
    <row r="175" spans="4:5" ht="12.75">
      <c r="D175" s="19"/>
      <c r="E175" s="19"/>
    </row>
    <row r="176" spans="4:5" ht="12.75">
      <c r="D176" s="19"/>
      <c r="E176" s="19"/>
    </row>
    <row r="177" spans="4:5" ht="12.75">
      <c r="D177" s="19"/>
      <c r="E177" s="19"/>
    </row>
    <row r="178" spans="4:5" ht="12.75">
      <c r="D178" s="19"/>
      <c r="E178" s="19"/>
    </row>
    <row r="179" spans="4:5" ht="12.75">
      <c r="D179" s="19"/>
      <c r="E179" s="19"/>
    </row>
    <row r="180" spans="4:5" ht="12.75">
      <c r="D180" s="19"/>
      <c r="E180" s="19"/>
    </row>
    <row r="181" spans="4:5" ht="12.75">
      <c r="D181" s="19"/>
      <c r="E181" s="19"/>
    </row>
    <row r="182" spans="4:5" ht="12.75">
      <c r="D182" s="19"/>
      <c r="E182" s="19"/>
    </row>
    <row r="183" spans="4:5" ht="12.75">
      <c r="D183" s="19"/>
      <c r="E183" s="19"/>
    </row>
    <row r="184" spans="4:5" ht="12.75">
      <c r="D184" s="19"/>
      <c r="E184" s="19"/>
    </row>
    <row r="185" spans="4:5" ht="12.75">
      <c r="D185" s="19"/>
      <c r="E185" s="19"/>
    </row>
    <row r="186" spans="4:5" ht="12.75">
      <c r="D186" s="19"/>
      <c r="E186" s="19"/>
    </row>
    <row r="187" spans="4:5" ht="12.75">
      <c r="D187" s="19"/>
      <c r="E187" s="19"/>
    </row>
    <row r="188" spans="4:5" ht="12.75">
      <c r="D188" s="19"/>
      <c r="E188" s="19"/>
    </row>
    <row r="189" spans="4:5" ht="12.75">
      <c r="D189" s="19"/>
      <c r="E189" s="19"/>
    </row>
    <row r="190" spans="4:5" ht="12.75">
      <c r="D190" s="19"/>
      <c r="E190" s="19"/>
    </row>
    <row r="191" spans="4:5" ht="12.75">
      <c r="D191" s="19"/>
      <c r="E191" s="19"/>
    </row>
    <row r="192" spans="4:5" ht="12.75">
      <c r="D192" s="19"/>
      <c r="E192" s="19"/>
    </row>
    <row r="193" spans="4:5" ht="12.75">
      <c r="D193" s="19"/>
      <c r="E193" s="19"/>
    </row>
    <row r="194" spans="4:5" ht="12.75">
      <c r="D194" s="19"/>
      <c r="E194" s="19"/>
    </row>
    <row r="195" spans="4:5" ht="12.75">
      <c r="D195" s="19"/>
      <c r="E195" s="19"/>
    </row>
    <row r="196" spans="4:5" ht="12.75">
      <c r="D196" s="19"/>
      <c r="E196" s="19"/>
    </row>
    <row r="197" spans="4:5" ht="12.75">
      <c r="D197" s="19"/>
      <c r="E197" s="19"/>
    </row>
    <row r="198" spans="4:5" ht="12.75">
      <c r="D198" s="19"/>
      <c r="E198" s="19"/>
    </row>
    <row r="199" spans="4:5" ht="12.75">
      <c r="D199" s="19"/>
      <c r="E199" s="19"/>
    </row>
    <row r="200" spans="4:5" ht="12.75">
      <c r="D200" s="19"/>
      <c r="E200" s="19"/>
    </row>
    <row r="201" spans="4:5" ht="12.75">
      <c r="D201" s="19"/>
      <c r="E201" s="19"/>
    </row>
    <row r="202" spans="4:5" ht="12.75">
      <c r="D202" s="19"/>
      <c r="E202" s="19"/>
    </row>
    <row r="203" spans="4:5" ht="12.75">
      <c r="D203" s="19"/>
      <c r="E203" s="19"/>
    </row>
    <row r="204" spans="4:5" ht="12.75">
      <c r="D204" s="19"/>
      <c r="E204" s="19"/>
    </row>
    <row r="205" spans="4:5" ht="12.75">
      <c r="D205" s="19"/>
      <c r="E205" s="19"/>
    </row>
    <row r="206" spans="4:5" ht="12.75">
      <c r="D206" s="19"/>
      <c r="E206" s="19"/>
    </row>
    <row r="207" spans="4:5" ht="12.75">
      <c r="D207" s="19"/>
      <c r="E207" s="19"/>
    </row>
    <row r="208" spans="4:5" ht="12.75">
      <c r="D208" s="19"/>
      <c r="E208" s="19"/>
    </row>
    <row r="209" spans="4:5" ht="12.75">
      <c r="D209" s="19"/>
      <c r="E209" s="19"/>
    </row>
    <row r="210" spans="4:5" ht="12.75">
      <c r="D210" s="19"/>
      <c r="E210" s="19"/>
    </row>
    <row r="211" spans="4:5" ht="12.75">
      <c r="D211" s="19"/>
      <c r="E211" s="19"/>
    </row>
    <row r="212" spans="4:5" ht="12.75">
      <c r="D212" s="19"/>
      <c r="E212" s="19"/>
    </row>
    <row r="213" spans="4:5" ht="12.75">
      <c r="D213" s="19"/>
      <c r="E213" s="19"/>
    </row>
    <row r="214" spans="4:5" ht="12.75">
      <c r="D214" s="19"/>
      <c r="E214" s="19"/>
    </row>
    <row r="215" spans="4:5" ht="12.75">
      <c r="D215" s="19"/>
      <c r="E215" s="19"/>
    </row>
    <row r="216" spans="4:5" ht="12.75">
      <c r="D216" s="19"/>
      <c r="E216" s="19"/>
    </row>
    <row r="217" spans="4:5" ht="12.75">
      <c r="D217" s="19"/>
      <c r="E217" s="19"/>
    </row>
    <row r="218" spans="4:5" ht="12.75">
      <c r="D218" s="19"/>
      <c r="E218" s="19"/>
    </row>
    <row r="219" spans="4:5" ht="12.75">
      <c r="D219" s="19"/>
      <c r="E219" s="19"/>
    </row>
    <row r="220" spans="4:5" ht="12.75">
      <c r="D220" s="19"/>
      <c r="E220" s="19"/>
    </row>
    <row r="221" spans="4:5" ht="12.75">
      <c r="D221" s="19"/>
      <c r="E221" s="19"/>
    </row>
    <row r="222" spans="4:5" ht="12.75">
      <c r="D222" s="19"/>
      <c r="E222" s="19"/>
    </row>
    <row r="223" spans="4:5" ht="12.75">
      <c r="D223" s="19"/>
      <c r="E223" s="19"/>
    </row>
    <row r="224" spans="4:5" ht="12.75">
      <c r="D224" s="19"/>
      <c r="E224" s="19"/>
    </row>
    <row r="225" spans="4:5" ht="12.75">
      <c r="D225" s="19"/>
      <c r="E225" s="19"/>
    </row>
    <row r="226" spans="4:5" ht="12.75">
      <c r="D226" s="19"/>
      <c r="E226" s="19"/>
    </row>
    <row r="227" spans="4:5" ht="12.75">
      <c r="D227" s="19"/>
      <c r="E227" s="19"/>
    </row>
    <row r="228" spans="4:5" ht="12.75">
      <c r="D228" s="19"/>
      <c r="E228" s="19"/>
    </row>
    <row r="229" spans="4:5" ht="12.75">
      <c r="D229" s="19"/>
      <c r="E229" s="19"/>
    </row>
    <row r="230" spans="4:5" ht="12.75">
      <c r="D230" s="19"/>
      <c r="E230" s="19"/>
    </row>
    <row r="231" spans="4:5" ht="12.75">
      <c r="D231" s="19"/>
      <c r="E231" s="19"/>
    </row>
    <row r="232" spans="4:5" ht="12.75">
      <c r="D232" s="19"/>
      <c r="E232" s="19"/>
    </row>
    <row r="233" spans="4:5" ht="12.75">
      <c r="D233" s="19"/>
      <c r="E233" s="19"/>
    </row>
    <row r="234" spans="4:5" ht="12.75">
      <c r="D234" s="19"/>
      <c r="E234" s="19"/>
    </row>
    <row r="235" spans="4:5" ht="12.75">
      <c r="D235" s="19"/>
      <c r="E235" s="19"/>
    </row>
    <row r="236" spans="4:5" ht="12.75">
      <c r="D236" s="19"/>
      <c r="E236" s="19"/>
    </row>
    <row r="237" spans="4:5" ht="12.75">
      <c r="D237" s="19"/>
      <c r="E237" s="19"/>
    </row>
    <row r="238" spans="4:5" ht="12.75">
      <c r="D238" s="19"/>
      <c r="E238" s="19"/>
    </row>
    <row r="239" spans="4:5" ht="12.75">
      <c r="D239" s="19"/>
      <c r="E239" s="19"/>
    </row>
    <row r="240" spans="4:5" ht="12.75">
      <c r="D240" s="19"/>
      <c r="E240" s="19"/>
    </row>
    <row r="241" spans="4:5" ht="12.75">
      <c r="D241" s="19"/>
      <c r="E241" s="19"/>
    </row>
    <row r="242" spans="4:5" ht="12.75">
      <c r="D242" s="19"/>
      <c r="E242" s="19"/>
    </row>
    <row r="243" spans="4:5" ht="12.75">
      <c r="D243" s="19"/>
      <c r="E243" s="19"/>
    </row>
    <row r="244" spans="4:5" ht="12.75">
      <c r="D244" s="19"/>
      <c r="E244" s="19"/>
    </row>
    <row r="245" spans="4:5" ht="12.75">
      <c r="D245" s="19"/>
      <c r="E245" s="19"/>
    </row>
    <row r="246" spans="4:5" ht="12.75">
      <c r="D246" s="19"/>
      <c r="E246" s="19"/>
    </row>
    <row r="247" spans="4:5" ht="12.75">
      <c r="D247" s="19"/>
      <c r="E247" s="19"/>
    </row>
    <row r="248" spans="4:5" ht="12.75">
      <c r="D248" s="19"/>
      <c r="E248" s="19"/>
    </row>
    <row r="249" spans="4:5" ht="12.75">
      <c r="D249" s="19"/>
      <c r="E249" s="19"/>
    </row>
    <row r="250" spans="4:5" ht="12.75">
      <c r="D250" s="19"/>
      <c r="E250" s="19"/>
    </row>
    <row r="251" spans="4:5" ht="12.75">
      <c r="D251" s="19"/>
      <c r="E251" s="19"/>
    </row>
    <row r="252" spans="4:5" ht="12.75">
      <c r="D252" s="19"/>
      <c r="E252" s="19"/>
    </row>
    <row r="253" spans="4:5" ht="12.75">
      <c r="D253" s="19"/>
      <c r="E253" s="19"/>
    </row>
    <row r="254" spans="4:5" ht="12.75">
      <c r="D254" s="19"/>
      <c r="E254" s="19"/>
    </row>
    <row r="255" spans="4:5" ht="12.75">
      <c r="D255" s="19"/>
      <c r="E255" s="19"/>
    </row>
    <row r="256" spans="4:5" ht="12.75">
      <c r="D256" s="19"/>
      <c r="E256" s="19"/>
    </row>
    <row r="257" spans="4:5" ht="12.75">
      <c r="D257" s="19"/>
      <c r="E257" s="19"/>
    </row>
    <row r="258" spans="4:5" ht="12.75">
      <c r="D258" s="19"/>
      <c r="E258" s="19"/>
    </row>
    <row r="259" spans="4:5" ht="12.75">
      <c r="D259" s="19"/>
      <c r="E259" s="19"/>
    </row>
    <row r="260" spans="4:5" ht="12.75">
      <c r="D260" s="19"/>
      <c r="E260" s="19"/>
    </row>
    <row r="261" spans="4:5" ht="12.75">
      <c r="D261" s="19"/>
      <c r="E261" s="19"/>
    </row>
    <row r="262" spans="4:5" ht="12.75">
      <c r="D262" s="19"/>
      <c r="E262" s="19"/>
    </row>
    <row r="263" spans="4:5" ht="12.75">
      <c r="D263" s="19"/>
      <c r="E263" s="19"/>
    </row>
    <row r="264" spans="4:5" ht="12.75">
      <c r="D264" s="19"/>
      <c r="E264" s="19"/>
    </row>
    <row r="265" spans="4:5" ht="12.75">
      <c r="D265" s="19"/>
      <c r="E265" s="19"/>
    </row>
    <row r="266" spans="4:5" ht="12.75">
      <c r="D266" s="19"/>
      <c r="E266" s="19"/>
    </row>
    <row r="267" spans="4:5" ht="12.75">
      <c r="D267" s="19"/>
      <c r="E267" s="19"/>
    </row>
    <row r="268" spans="4:5" ht="12.75">
      <c r="D268" s="19"/>
      <c r="E268" s="19"/>
    </row>
    <row r="269" spans="4:5" ht="12.75">
      <c r="D269" s="19"/>
      <c r="E269" s="19"/>
    </row>
    <row r="270" spans="4:5" ht="12.75">
      <c r="D270" s="19"/>
      <c r="E270" s="19"/>
    </row>
    <row r="271" spans="4:5" ht="12.75">
      <c r="D271" s="19"/>
      <c r="E271" s="19"/>
    </row>
    <row r="272" spans="4:5" ht="12.75">
      <c r="D272" s="19"/>
      <c r="E272" s="19"/>
    </row>
    <row r="273" spans="4:5" ht="12.75">
      <c r="D273" s="19"/>
      <c r="E273" s="19"/>
    </row>
    <row r="274" spans="4:5" ht="12.75">
      <c r="D274" s="19"/>
      <c r="E274" s="19"/>
    </row>
    <row r="275" spans="4:5" ht="12.75">
      <c r="D275" s="19"/>
      <c r="E275" s="19"/>
    </row>
    <row r="276" spans="4:5" ht="12.75">
      <c r="D276" s="19"/>
      <c r="E276" s="19"/>
    </row>
    <row r="277" spans="4:5" ht="12.75">
      <c r="D277" s="19"/>
      <c r="E277" s="19"/>
    </row>
    <row r="278" spans="4:5" ht="12.75">
      <c r="D278" s="19"/>
      <c r="E278" s="19"/>
    </row>
    <row r="279" spans="4:5" ht="12.75">
      <c r="D279" s="19"/>
      <c r="E279" s="19"/>
    </row>
    <row r="280" spans="4:5" ht="12.75">
      <c r="D280" s="19"/>
      <c r="E280" s="19"/>
    </row>
    <row r="281" spans="4:5" ht="12.75">
      <c r="D281" s="19"/>
      <c r="E281" s="19"/>
    </row>
    <row r="282" spans="4:5" ht="12.75">
      <c r="D282" s="19"/>
      <c r="E282" s="19"/>
    </row>
    <row r="283" spans="4:5" ht="12.75">
      <c r="D283" s="19"/>
      <c r="E283" s="19"/>
    </row>
    <row r="284" spans="4:5" ht="12.75">
      <c r="D284" s="19"/>
      <c r="E284" s="19"/>
    </row>
    <row r="285" spans="4:5" ht="12.75">
      <c r="D285" s="19"/>
      <c r="E285" s="19"/>
    </row>
    <row r="286" spans="4:5" ht="12.75">
      <c r="D286" s="19"/>
      <c r="E286" s="19"/>
    </row>
    <row r="287" spans="4:5" ht="12.75">
      <c r="D287" s="19"/>
      <c r="E287" s="19"/>
    </row>
    <row r="288" spans="4:5" ht="12.75">
      <c r="D288" s="19"/>
      <c r="E288" s="19"/>
    </row>
    <row r="289" spans="4:5" ht="12.75">
      <c r="D289" s="19"/>
      <c r="E289" s="19"/>
    </row>
    <row r="290" spans="4:5" ht="12.75">
      <c r="D290" s="19"/>
      <c r="E290" s="19"/>
    </row>
    <row r="291" spans="4:5" ht="12.75">
      <c r="D291" s="19"/>
      <c r="E291" s="19"/>
    </row>
    <row r="292" spans="4:5" ht="12.75">
      <c r="D292" s="19"/>
      <c r="E292" s="19"/>
    </row>
    <row r="293" spans="4:5" ht="12.75">
      <c r="D293" s="19"/>
      <c r="E293" s="19"/>
    </row>
    <row r="294" spans="4:5" ht="12.75">
      <c r="D294" s="19"/>
      <c r="E294" s="19"/>
    </row>
    <row r="295" spans="4:5" ht="12.75">
      <c r="D295" s="19"/>
      <c r="E295" s="19"/>
    </row>
    <row r="296" spans="4:5" ht="12.75">
      <c r="D296" s="19"/>
      <c r="E296" s="19"/>
    </row>
    <row r="297" spans="4:5" ht="12.75">
      <c r="D297" s="19"/>
      <c r="E297" s="19"/>
    </row>
    <row r="298" spans="4:5" ht="12.75">
      <c r="D298" s="19"/>
      <c r="E298" s="19"/>
    </row>
    <row r="299" spans="4:5" ht="12.75">
      <c r="D299" s="19"/>
      <c r="E299" s="19"/>
    </row>
    <row r="300" spans="4:5" ht="12.75">
      <c r="D300" s="19"/>
      <c r="E300" s="19"/>
    </row>
    <row r="301" spans="4:5" ht="12.75">
      <c r="D301" s="19"/>
      <c r="E301" s="19"/>
    </row>
    <row r="302" spans="4:5" ht="12.75">
      <c r="D302" s="19"/>
      <c r="E302" s="19"/>
    </row>
    <row r="303" spans="4:5" ht="12.75">
      <c r="D303" s="19"/>
      <c r="E303" s="19"/>
    </row>
    <row r="304" spans="4:5" ht="12.75">
      <c r="D304" s="19"/>
      <c r="E304" s="19"/>
    </row>
    <row r="305" spans="4:5" ht="12.75">
      <c r="D305" s="19"/>
      <c r="E305" s="19"/>
    </row>
    <row r="306" spans="4:5" ht="12.75">
      <c r="D306" s="19"/>
      <c r="E306" s="19"/>
    </row>
    <row r="307" spans="4:5" ht="12.75">
      <c r="D307" s="19"/>
      <c r="E307" s="19"/>
    </row>
    <row r="308" spans="4:5" ht="12.75">
      <c r="D308" s="19"/>
      <c r="E308" s="19"/>
    </row>
    <row r="309" spans="4:5" ht="12.75">
      <c r="D309" s="19"/>
      <c r="E309" s="19"/>
    </row>
    <row r="310" spans="4:5" ht="12.75">
      <c r="D310" s="19"/>
      <c r="E310" s="19"/>
    </row>
    <row r="311" spans="4:5" ht="12.75">
      <c r="D311" s="19"/>
      <c r="E311" s="19"/>
    </row>
    <row r="312" spans="4:5" ht="12.75">
      <c r="D312" s="19"/>
      <c r="E312" s="19"/>
    </row>
    <row r="313" spans="4:5" ht="12.75">
      <c r="D313" s="19"/>
      <c r="E313" s="19"/>
    </row>
    <row r="314" spans="4:5" ht="12.75">
      <c r="D314" s="19"/>
      <c r="E314" s="19"/>
    </row>
    <row r="315" spans="4:5" ht="12.75">
      <c r="D315" s="19"/>
      <c r="E315" s="19"/>
    </row>
    <row r="316" spans="4:5" ht="12.75">
      <c r="D316" s="19"/>
      <c r="E316" s="19"/>
    </row>
    <row r="317" spans="4:5" ht="12.75">
      <c r="D317" s="19"/>
      <c r="E317" s="19"/>
    </row>
    <row r="318" spans="4:5" ht="12.75">
      <c r="D318" s="19"/>
      <c r="E318" s="19"/>
    </row>
    <row r="319" spans="4:5" ht="12.75">
      <c r="D319" s="19"/>
      <c r="E319" s="19"/>
    </row>
    <row r="320" spans="4:5" ht="12.75">
      <c r="D320" s="19"/>
      <c r="E320" s="19"/>
    </row>
    <row r="321" spans="4:5" ht="12.75">
      <c r="D321" s="19"/>
      <c r="E321" s="19"/>
    </row>
    <row r="322" spans="4:5" ht="12.75">
      <c r="D322" s="19"/>
      <c r="E322" s="19"/>
    </row>
    <row r="323" spans="4:5" ht="12.75">
      <c r="D323" s="19"/>
      <c r="E323" s="19"/>
    </row>
    <row r="324" spans="4:5" ht="12.75">
      <c r="D324" s="19"/>
      <c r="E324" s="19"/>
    </row>
    <row r="325" spans="4:5" ht="12.75">
      <c r="D325" s="19"/>
      <c r="E325" s="19"/>
    </row>
    <row r="326" spans="4:5" ht="12.75">
      <c r="D326" s="19"/>
      <c r="E326" s="19"/>
    </row>
    <row r="327" spans="4:5" ht="12.75">
      <c r="D327" s="19"/>
      <c r="E327" s="19"/>
    </row>
    <row r="328" spans="4:5" ht="12.75">
      <c r="D328" s="19"/>
      <c r="E328" s="19"/>
    </row>
    <row r="329" spans="4:5" ht="12.75">
      <c r="D329" s="19"/>
      <c r="E329" s="19"/>
    </row>
    <row r="330" spans="4:5" ht="12.75">
      <c r="D330" s="19"/>
      <c r="E330" s="19"/>
    </row>
    <row r="331" spans="4:5" ht="12.75">
      <c r="D331" s="19"/>
      <c r="E331" s="19"/>
    </row>
    <row r="332" spans="4:5" ht="12.75">
      <c r="D332" s="19"/>
      <c r="E332" s="19"/>
    </row>
    <row r="333" spans="4:5" ht="12.75">
      <c r="D333" s="19"/>
      <c r="E333" s="19"/>
    </row>
    <row r="334" spans="4:5" ht="12.75">
      <c r="D334" s="19"/>
      <c r="E334" s="19"/>
    </row>
    <row r="335" spans="4:5" ht="12.75">
      <c r="D335" s="19"/>
      <c r="E335" s="19"/>
    </row>
    <row r="336" spans="4:5" ht="12.75">
      <c r="D336" s="19"/>
      <c r="E336" s="19"/>
    </row>
    <row r="337" spans="4:5" ht="12.75">
      <c r="D337" s="19"/>
      <c r="E337" s="19"/>
    </row>
    <row r="338" spans="4:5" ht="12.75">
      <c r="D338" s="19"/>
      <c r="E338" s="19"/>
    </row>
    <row r="339" spans="4:5" ht="12.75">
      <c r="D339" s="19"/>
      <c r="E339" s="19"/>
    </row>
    <row r="340" spans="4:5" ht="12.75">
      <c r="D340" s="19"/>
      <c r="E340" s="19"/>
    </row>
    <row r="341" spans="4:5" ht="12.75">
      <c r="D341" s="19"/>
      <c r="E341" s="19"/>
    </row>
    <row r="342" spans="4:5" ht="12.75">
      <c r="D342" s="19"/>
      <c r="E342" s="19"/>
    </row>
    <row r="343" spans="4:5" ht="12.75">
      <c r="D343" s="19"/>
      <c r="E343" s="19"/>
    </row>
    <row r="344" spans="4:5" ht="12.75">
      <c r="D344" s="19"/>
      <c r="E344" s="19"/>
    </row>
    <row r="345" spans="4:5" ht="12.75">
      <c r="D345" s="19"/>
      <c r="E345" s="19"/>
    </row>
    <row r="346" spans="4:5" ht="12.75">
      <c r="D346" s="19"/>
      <c r="E346" s="19"/>
    </row>
    <row r="347" spans="4:5" ht="12.75">
      <c r="D347" s="19"/>
      <c r="E347" s="19"/>
    </row>
    <row r="348" spans="4:5" ht="12.75">
      <c r="D348" s="19"/>
      <c r="E348" s="19"/>
    </row>
    <row r="349" spans="4:5" ht="12.75">
      <c r="D349" s="19"/>
      <c r="E349" s="19"/>
    </row>
    <row r="350" spans="4:5" ht="12.75">
      <c r="D350" s="19"/>
      <c r="E350" s="19"/>
    </row>
    <row r="351" spans="4:5" ht="12.75">
      <c r="D351" s="19"/>
      <c r="E351" s="19"/>
    </row>
    <row r="352" spans="4:5" ht="12.75">
      <c r="D352" s="19"/>
      <c r="E352" s="19"/>
    </row>
    <row r="353" spans="4:5" ht="12.75">
      <c r="D353" s="19"/>
      <c r="E353" s="19"/>
    </row>
    <row r="354" spans="4:5" ht="12.75">
      <c r="D354" s="19"/>
      <c r="E354" s="19"/>
    </row>
    <row r="355" spans="4:5" ht="12.75">
      <c r="D355" s="19"/>
      <c r="E355" s="19"/>
    </row>
    <row r="356" spans="4:5" ht="12.75">
      <c r="D356" s="19"/>
      <c r="E356" s="19"/>
    </row>
    <row r="357" spans="4:5" ht="12.75">
      <c r="D357" s="19"/>
      <c r="E357" s="19"/>
    </row>
    <row r="358" spans="4:5" ht="12.75">
      <c r="D358" s="19"/>
      <c r="E358" s="19"/>
    </row>
    <row r="359" spans="4:5" ht="12.75">
      <c r="D359" s="19"/>
      <c r="E359" s="19"/>
    </row>
    <row r="360" spans="4:5" ht="12.75">
      <c r="D360" s="19"/>
      <c r="E360" s="19"/>
    </row>
    <row r="361" spans="4:5" ht="12.75">
      <c r="D361" s="19"/>
      <c r="E361" s="19"/>
    </row>
    <row r="362" spans="4:5" ht="12.75">
      <c r="D362" s="19"/>
      <c r="E362" s="19"/>
    </row>
    <row r="363" spans="4:5" ht="12.75">
      <c r="D363" s="19"/>
      <c r="E363" s="19"/>
    </row>
    <row r="364" spans="4:5" ht="12.75">
      <c r="D364" s="19"/>
      <c r="E364" s="19"/>
    </row>
    <row r="365" spans="4:5" ht="12.75">
      <c r="D365" s="19"/>
      <c r="E365" s="19"/>
    </row>
    <row r="366" spans="4:5" ht="12.75">
      <c r="D366" s="19"/>
      <c r="E366" s="19"/>
    </row>
    <row r="367" spans="4:5" ht="12.75">
      <c r="D367" s="19"/>
      <c r="E367" s="19"/>
    </row>
    <row r="368" spans="4:5" ht="12.75">
      <c r="D368" s="19"/>
      <c r="E368" s="19"/>
    </row>
    <row r="369" spans="4:5" ht="12.75">
      <c r="D369" s="19"/>
      <c r="E369" s="19"/>
    </row>
    <row r="370" spans="4:5" ht="12.75">
      <c r="D370" s="19"/>
      <c r="E370" s="19"/>
    </row>
    <row r="371" spans="4:5" ht="12.75">
      <c r="D371" s="19"/>
      <c r="E371" s="19"/>
    </row>
    <row r="372" spans="4:5" ht="12.75">
      <c r="D372" s="19"/>
      <c r="E372" s="19"/>
    </row>
    <row r="373" spans="4:5" ht="12.75">
      <c r="D373" s="19"/>
      <c r="E373" s="19"/>
    </row>
    <row r="374" spans="4:5" ht="12.75">
      <c r="D374" s="19"/>
      <c r="E374" s="19"/>
    </row>
    <row r="375" spans="4:5" ht="12.75">
      <c r="D375" s="19"/>
      <c r="E375" s="19"/>
    </row>
    <row r="376" spans="4:5" ht="12.75">
      <c r="D376" s="19"/>
      <c r="E376" s="19"/>
    </row>
    <row r="377" spans="4:5" ht="12.75">
      <c r="D377" s="19"/>
      <c r="E377" s="19"/>
    </row>
    <row r="378" spans="4:5" ht="12.75">
      <c r="D378" s="19"/>
      <c r="E378" s="19"/>
    </row>
    <row r="379" spans="4:5" ht="12.75">
      <c r="D379" s="19"/>
      <c r="E379" s="19"/>
    </row>
    <row r="380" spans="4:5" ht="12.75">
      <c r="D380" s="19"/>
      <c r="E380" s="19"/>
    </row>
    <row r="381" spans="4:5" ht="12.75">
      <c r="D381" s="19"/>
      <c r="E381" s="19"/>
    </row>
    <row r="382" spans="4:5" ht="12.75">
      <c r="D382" s="19"/>
      <c r="E382" s="19"/>
    </row>
    <row r="383" spans="4:5" ht="12.75">
      <c r="D383" s="19"/>
      <c r="E383" s="19"/>
    </row>
    <row r="384" spans="4:5" ht="12.75">
      <c r="D384" s="19"/>
      <c r="E384" s="19"/>
    </row>
    <row r="385" spans="4:5" ht="12.75">
      <c r="D385" s="19"/>
      <c r="E385" s="19"/>
    </row>
    <row r="386" spans="4:5" ht="12.75">
      <c r="D386" s="19"/>
      <c r="E386" s="19"/>
    </row>
    <row r="387" spans="4:5" ht="12.75">
      <c r="D387" s="19"/>
      <c r="E387" s="19"/>
    </row>
    <row r="388" spans="4:5" ht="12.75">
      <c r="D388" s="19"/>
      <c r="E388" s="19"/>
    </row>
    <row r="389" spans="4:5" ht="12.75">
      <c r="D389" s="19"/>
      <c r="E389" s="19"/>
    </row>
    <row r="390" spans="4:5" ht="12.75">
      <c r="D390" s="19"/>
      <c r="E390" s="19"/>
    </row>
    <row r="391" spans="4:5" ht="12.75">
      <c r="D391" s="19"/>
      <c r="E391" s="19"/>
    </row>
    <row r="392" spans="4:5" ht="12.75">
      <c r="D392" s="19"/>
      <c r="E392" s="19"/>
    </row>
    <row r="393" spans="4:5" ht="12.75">
      <c r="D393" s="19"/>
      <c r="E393" s="19"/>
    </row>
    <row r="394" spans="4:5" ht="12.75">
      <c r="D394" s="19"/>
      <c r="E394" s="19"/>
    </row>
    <row r="395" spans="4:5" ht="12.75">
      <c r="D395" s="19"/>
      <c r="E395" s="19"/>
    </row>
    <row r="396" spans="4:5" ht="12.75">
      <c r="D396" s="19"/>
      <c r="E396" s="19"/>
    </row>
    <row r="397" spans="4:5" ht="12.75">
      <c r="D397" s="19"/>
      <c r="E397" s="19"/>
    </row>
    <row r="398" spans="4:5" ht="12.75">
      <c r="D398" s="19"/>
      <c r="E398" s="19"/>
    </row>
    <row r="399" spans="4:5" ht="12.75">
      <c r="D399" s="19"/>
      <c r="E399" s="19"/>
    </row>
    <row r="400" spans="4:5" ht="12.75">
      <c r="D400" s="19"/>
      <c r="E400" s="19"/>
    </row>
    <row r="401" spans="4:5" ht="12.75">
      <c r="D401" s="19"/>
      <c r="E401" s="19"/>
    </row>
    <row r="402" spans="4:5" ht="12.75">
      <c r="D402" s="19"/>
      <c r="E402" s="19"/>
    </row>
    <row r="403" spans="4:5" ht="12.75">
      <c r="D403" s="19"/>
      <c r="E403" s="19"/>
    </row>
    <row r="404" spans="4:5" ht="12.75">
      <c r="D404" s="19"/>
      <c r="E404" s="19"/>
    </row>
    <row r="405" spans="4:5" ht="12.75">
      <c r="D405" s="19"/>
      <c r="E405" s="19"/>
    </row>
    <row r="406" spans="4:5" ht="12.75">
      <c r="D406" s="19"/>
      <c r="E406" s="19"/>
    </row>
    <row r="407" spans="4:5" ht="12.75">
      <c r="D407" s="19"/>
      <c r="E407" s="19"/>
    </row>
    <row r="408" spans="4:5" ht="12.75">
      <c r="D408" s="19"/>
      <c r="E408" s="19"/>
    </row>
    <row r="409" spans="4:5" ht="12.75">
      <c r="D409" s="19"/>
      <c r="E409" s="19"/>
    </row>
    <row r="410" spans="4:5" ht="12.75">
      <c r="D410" s="19"/>
      <c r="E410" s="19"/>
    </row>
    <row r="411" spans="4:5" ht="12.75">
      <c r="D411" s="19"/>
      <c r="E411" s="19"/>
    </row>
    <row r="412" spans="4:5" ht="12.75">
      <c r="D412" s="19"/>
      <c r="E412" s="19"/>
    </row>
    <row r="413" spans="4:5" ht="12.75">
      <c r="D413" s="19"/>
      <c r="E413" s="19"/>
    </row>
    <row r="414" spans="4:5" ht="12.75">
      <c r="D414" s="19"/>
      <c r="E414" s="19"/>
    </row>
    <row r="415" spans="4:5" ht="12.75">
      <c r="D415" s="19"/>
      <c r="E415" s="19"/>
    </row>
    <row r="416" spans="4:5" ht="12.75">
      <c r="D416" s="19"/>
      <c r="E416" s="19"/>
    </row>
    <row r="417" spans="4:5" ht="12.75">
      <c r="D417" s="19"/>
      <c r="E417" s="19"/>
    </row>
    <row r="418" spans="4:5" ht="12.75">
      <c r="D418" s="19"/>
      <c r="E418" s="19"/>
    </row>
    <row r="419" spans="4:5" ht="12.75">
      <c r="D419" s="19"/>
      <c r="E419" s="19"/>
    </row>
    <row r="420" spans="4:5" ht="12.75">
      <c r="D420" s="19"/>
      <c r="E420" s="19"/>
    </row>
    <row r="421" spans="4:5" ht="12.75">
      <c r="D421" s="19"/>
      <c r="E421" s="19"/>
    </row>
    <row r="422" spans="4:5" ht="12.75">
      <c r="D422" s="19"/>
      <c r="E422" s="19"/>
    </row>
    <row r="423" spans="4:5" ht="12.75">
      <c r="D423" s="19"/>
      <c r="E423" s="19"/>
    </row>
    <row r="424" spans="4:5" ht="12.75">
      <c r="D424" s="19"/>
      <c r="E424" s="19"/>
    </row>
    <row r="425" spans="4:5" ht="12.75">
      <c r="D425" s="19"/>
      <c r="E425" s="19"/>
    </row>
    <row r="426" spans="4:5" ht="12.75">
      <c r="D426" s="19"/>
      <c r="E426" s="19"/>
    </row>
    <row r="427" spans="4:5" ht="12.75">
      <c r="D427" s="19"/>
      <c r="E427" s="19"/>
    </row>
    <row r="428" spans="4:5" ht="12.75">
      <c r="D428" s="19"/>
      <c r="E428" s="19"/>
    </row>
    <row r="429" spans="4:5" ht="12.75">
      <c r="D429" s="19"/>
      <c r="E429" s="19"/>
    </row>
    <row r="430" spans="4:5" ht="12.75">
      <c r="D430" s="19"/>
      <c r="E430" s="19"/>
    </row>
    <row r="431" spans="4:5" ht="12.75">
      <c r="D431" s="19"/>
      <c r="E431" s="19"/>
    </row>
    <row r="432" spans="4:5" ht="12.75">
      <c r="D432" s="19"/>
      <c r="E432" s="19"/>
    </row>
    <row r="433" spans="4:5" ht="12.75">
      <c r="D433" s="19"/>
      <c r="E433" s="19"/>
    </row>
    <row r="434" spans="4:5" ht="12.75">
      <c r="D434" s="19"/>
      <c r="E434" s="19"/>
    </row>
    <row r="435" spans="4:5" ht="12.75">
      <c r="D435" s="19"/>
      <c r="E435" s="19"/>
    </row>
    <row r="436" spans="4:5" ht="12.75">
      <c r="D436" s="19"/>
      <c r="E436" s="19"/>
    </row>
    <row r="437" spans="4:5" ht="12.75">
      <c r="D437" s="19"/>
      <c r="E437" s="19"/>
    </row>
    <row r="438" spans="4:5" ht="12.75">
      <c r="D438" s="19"/>
      <c r="E438" s="19"/>
    </row>
    <row r="439" spans="4:5" ht="12.75">
      <c r="D439" s="19"/>
      <c r="E439" s="19"/>
    </row>
    <row r="440" spans="4:5" ht="12.75">
      <c r="D440" s="19"/>
      <c r="E440" s="19"/>
    </row>
    <row r="441" spans="4:5" ht="12.75">
      <c r="D441" s="19"/>
      <c r="E441" s="19"/>
    </row>
    <row r="442" spans="4:5" ht="12.75">
      <c r="D442" s="19"/>
      <c r="E442" s="19"/>
    </row>
    <row r="443" spans="4:5" ht="12.75">
      <c r="D443" s="19"/>
      <c r="E443" s="19"/>
    </row>
    <row r="444" spans="4:5" ht="12.75">
      <c r="D444" s="19"/>
      <c r="E444" s="19"/>
    </row>
    <row r="445" spans="4:5" ht="12.75">
      <c r="D445" s="19"/>
      <c r="E445" s="19"/>
    </row>
    <row r="446" spans="4:5" ht="12.75">
      <c r="D446" s="19"/>
      <c r="E446" s="19"/>
    </row>
    <row r="447" spans="4:5" ht="12.75">
      <c r="D447" s="19"/>
      <c r="E447" s="19"/>
    </row>
    <row r="448" spans="4:5" ht="12.75">
      <c r="D448" s="19"/>
      <c r="E448" s="19"/>
    </row>
    <row r="449" spans="4:5" ht="12.75">
      <c r="D449" s="19"/>
      <c r="E449" s="19"/>
    </row>
    <row r="450" spans="4:5" ht="12.75">
      <c r="D450" s="19"/>
      <c r="E450" s="19"/>
    </row>
    <row r="451" spans="4:5" ht="12.75">
      <c r="D451" s="19"/>
      <c r="E451" s="19"/>
    </row>
    <row r="452" spans="4:5" ht="12.75">
      <c r="D452" s="19"/>
      <c r="E452" s="19"/>
    </row>
    <row r="453" spans="4:5" ht="12.75">
      <c r="D453" s="19"/>
      <c r="E453" s="19"/>
    </row>
    <row r="454" spans="4:5" ht="12.75">
      <c r="D454" s="19"/>
      <c r="E454" s="19"/>
    </row>
    <row r="455" spans="4:5" ht="12.75">
      <c r="D455" s="19"/>
      <c r="E455" s="19"/>
    </row>
    <row r="456" spans="4:5" ht="12.75">
      <c r="D456" s="19"/>
      <c r="E456" s="19"/>
    </row>
    <row r="457" spans="4:5" ht="12.75">
      <c r="D457" s="19"/>
      <c r="E457" s="19"/>
    </row>
    <row r="458" spans="4:5" ht="12.75">
      <c r="D458" s="19"/>
      <c r="E458" s="19"/>
    </row>
    <row r="459" spans="4:5" ht="12.75">
      <c r="D459" s="19"/>
      <c r="E459" s="19"/>
    </row>
    <row r="460" spans="4:5" ht="12.75">
      <c r="D460" s="19"/>
      <c r="E460" s="19"/>
    </row>
    <row r="461" spans="4:5" ht="12.75">
      <c r="D461" s="19"/>
      <c r="E461" s="19"/>
    </row>
    <row r="462" spans="4:5" ht="12.75">
      <c r="D462" s="19"/>
      <c r="E462" s="19"/>
    </row>
    <row r="463" spans="4:5" ht="12.75">
      <c r="D463" s="19"/>
      <c r="E463" s="19"/>
    </row>
    <row r="464" spans="4:5" ht="12.75">
      <c r="D464" s="19"/>
      <c r="E464" s="19"/>
    </row>
    <row r="465" spans="4:5" ht="12.75">
      <c r="D465" s="19"/>
      <c r="E465" s="19"/>
    </row>
    <row r="466" spans="4:5" ht="12.75">
      <c r="D466" s="19"/>
      <c r="E466" s="19"/>
    </row>
    <row r="467" spans="4:5" ht="12.75">
      <c r="D467" s="19"/>
      <c r="E467" s="19"/>
    </row>
    <row r="468" spans="4:5" ht="12.75">
      <c r="D468" s="19"/>
      <c r="E468" s="19"/>
    </row>
    <row r="469" spans="4:5" ht="12.75">
      <c r="D469" s="19"/>
      <c r="E469" s="19"/>
    </row>
    <row r="470" spans="4:5" ht="12.75">
      <c r="D470" s="19"/>
      <c r="E470" s="19"/>
    </row>
    <row r="471" spans="4:5" ht="12.75">
      <c r="D471" s="19"/>
      <c r="E471" s="19"/>
    </row>
    <row r="472" spans="4:5" ht="12.75">
      <c r="D472" s="19"/>
      <c r="E472" s="19"/>
    </row>
    <row r="473" spans="4:5" ht="12.75">
      <c r="D473" s="19"/>
      <c r="E473" s="19"/>
    </row>
    <row r="474" spans="4:5" ht="12.75">
      <c r="D474" s="19"/>
      <c r="E474" s="19"/>
    </row>
    <row r="475" spans="4:5" ht="12.75">
      <c r="D475" s="19"/>
      <c r="E475" s="19"/>
    </row>
    <row r="476" spans="4:5" ht="12.75">
      <c r="D476" s="19"/>
      <c r="E476" s="19"/>
    </row>
    <row r="477" spans="4:5" ht="12.75">
      <c r="D477" s="19"/>
      <c r="E477" s="19"/>
    </row>
    <row r="478" spans="4:5" ht="12.75">
      <c r="D478" s="19"/>
      <c r="E478" s="19"/>
    </row>
    <row r="479" spans="4:5" ht="12.75">
      <c r="D479" s="19"/>
      <c r="E479" s="19"/>
    </row>
    <row r="480" spans="4:5" ht="12.75">
      <c r="D480" s="19"/>
      <c r="E480" s="19"/>
    </row>
    <row r="481" spans="4:5" ht="12.75">
      <c r="D481" s="19"/>
      <c r="E481" s="19"/>
    </row>
    <row r="482" spans="4:5" ht="12.75">
      <c r="D482" s="19"/>
      <c r="E482" s="19"/>
    </row>
    <row r="483" spans="4:5" ht="12.75">
      <c r="D483" s="19"/>
      <c r="E483" s="19"/>
    </row>
    <row r="484" spans="4:5" ht="12.75">
      <c r="D484" s="19"/>
      <c r="E484" s="19"/>
    </row>
    <row r="485" spans="4:5" ht="12.75">
      <c r="D485" s="19"/>
      <c r="E485" s="19"/>
    </row>
    <row r="486" spans="4:5" ht="12.75">
      <c r="D486" s="19"/>
      <c r="E486" s="19"/>
    </row>
    <row r="487" spans="4:5" ht="12.75">
      <c r="D487" s="19"/>
      <c r="E487" s="19"/>
    </row>
    <row r="488" spans="4:5" ht="12.75">
      <c r="D488" s="19"/>
      <c r="E488" s="19"/>
    </row>
    <row r="489" spans="4:5" ht="12.75">
      <c r="D489" s="19"/>
      <c r="E489" s="19"/>
    </row>
    <row r="490" spans="4:5" ht="12.75">
      <c r="D490" s="19"/>
      <c r="E490" s="19"/>
    </row>
    <row r="491" spans="4:5" ht="12.75">
      <c r="D491" s="19"/>
      <c r="E491" s="19"/>
    </row>
    <row r="492" spans="4:5" ht="12.75">
      <c r="D492" s="19"/>
      <c r="E492" s="19"/>
    </row>
    <row r="493" spans="4:5" ht="12.75">
      <c r="D493" s="19"/>
      <c r="E493" s="19"/>
    </row>
    <row r="494" spans="4:5" ht="12.75">
      <c r="D494" s="19"/>
      <c r="E494" s="19"/>
    </row>
    <row r="495" spans="4:5" ht="12.75">
      <c r="D495" s="19"/>
      <c r="E495" s="19"/>
    </row>
    <row r="496" spans="4:5" ht="12.75">
      <c r="D496" s="19"/>
      <c r="E496" s="19"/>
    </row>
    <row r="497" spans="4:5" ht="12.75">
      <c r="D497" s="19"/>
      <c r="E497" s="19"/>
    </row>
    <row r="498" spans="4:5" ht="12.75">
      <c r="D498" s="19"/>
      <c r="E498" s="19"/>
    </row>
    <row r="499" spans="4:5" ht="12.75">
      <c r="D499" s="19"/>
      <c r="E499" s="19"/>
    </row>
    <row r="500" spans="4:5" ht="12.75">
      <c r="D500" s="19"/>
      <c r="E500" s="19"/>
    </row>
    <row r="501" spans="4:5" ht="12.75">
      <c r="D501" s="19"/>
      <c r="E501" s="19"/>
    </row>
    <row r="502" spans="4:5" ht="12.75">
      <c r="D502" s="19"/>
      <c r="E502" s="19"/>
    </row>
    <row r="503" spans="4:5" ht="12.75">
      <c r="D503" s="19"/>
      <c r="E503" s="19"/>
    </row>
    <row r="504" spans="4:5" ht="12.75">
      <c r="D504" s="19"/>
      <c r="E504" s="19"/>
    </row>
    <row r="505" spans="4:5" ht="12.75">
      <c r="D505" s="19"/>
      <c r="E505" s="19"/>
    </row>
    <row r="506" spans="4:5" ht="12.75">
      <c r="D506" s="19"/>
      <c r="E506" s="19"/>
    </row>
    <row r="507" spans="4:5" ht="12.75">
      <c r="D507" s="19"/>
      <c r="E507" s="19"/>
    </row>
    <row r="508" spans="4:5" ht="12.75">
      <c r="D508" s="19"/>
      <c r="E508" s="19"/>
    </row>
    <row r="509" spans="4:5" ht="12.75">
      <c r="D509" s="19"/>
      <c r="E509" s="19"/>
    </row>
    <row r="510" spans="4:5" ht="12.75">
      <c r="D510" s="19"/>
      <c r="E510" s="19"/>
    </row>
    <row r="511" spans="4:5" ht="12.75">
      <c r="D511" s="19"/>
      <c r="E511" s="19"/>
    </row>
    <row r="512" spans="4:5" ht="12.75">
      <c r="D512" s="19"/>
      <c r="E512" s="19"/>
    </row>
    <row r="513" spans="4:5" ht="12.75">
      <c r="D513" s="19"/>
      <c r="E513" s="19"/>
    </row>
    <row r="514" spans="4:5" ht="12.75">
      <c r="D514" s="19"/>
      <c r="E514" s="19"/>
    </row>
    <row r="515" spans="4:5" ht="12.75">
      <c r="D515" s="19"/>
      <c r="E515" s="19"/>
    </row>
    <row r="516" spans="4:5" ht="12.75">
      <c r="D516" s="19"/>
      <c r="E516" s="19"/>
    </row>
    <row r="517" spans="4:5" ht="12.75">
      <c r="D517" s="19"/>
      <c r="E517" s="19"/>
    </row>
    <row r="518" spans="4:5" ht="12.75">
      <c r="D518" s="19"/>
      <c r="E518" s="19"/>
    </row>
    <row r="519" spans="4:5" ht="12.75">
      <c r="D519" s="19"/>
      <c r="E519" s="19"/>
    </row>
    <row r="520" spans="4:5" ht="12.75">
      <c r="D520" s="19"/>
      <c r="E520" s="19"/>
    </row>
    <row r="521" spans="4:5" ht="12.75">
      <c r="D521" s="19"/>
      <c r="E521" s="19"/>
    </row>
    <row r="522" spans="4:5" ht="12.75">
      <c r="D522" s="19"/>
      <c r="E522" s="19"/>
    </row>
    <row r="523" spans="4:5" ht="12.75">
      <c r="D523" s="19"/>
      <c r="E523" s="19"/>
    </row>
    <row r="524" spans="4:5" ht="12.75">
      <c r="D524" s="19"/>
      <c r="E524" s="19"/>
    </row>
    <row r="525" spans="4:5" ht="12.75">
      <c r="D525" s="19"/>
      <c r="E525" s="19"/>
    </row>
    <row r="526" spans="4:5" ht="12.75">
      <c r="D526" s="19"/>
      <c r="E526" s="19"/>
    </row>
    <row r="527" spans="4:5" ht="12.75">
      <c r="D527" s="19"/>
      <c r="E527" s="19"/>
    </row>
    <row r="528" spans="4:5" ht="12.75">
      <c r="D528" s="19"/>
      <c r="E528" s="19"/>
    </row>
    <row r="529" spans="4:5" ht="12.75">
      <c r="D529" s="19"/>
      <c r="E529" s="19"/>
    </row>
    <row r="530" spans="4:5" ht="12.75">
      <c r="D530" s="19"/>
      <c r="E530" s="19"/>
    </row>
    <row r="531" spans="4:5" ht="12.75">
      <c r="D531" s="19"/>
      <c r="E531" s="19"/>
    </row>
    <row r="532" spans="4:5" ht="12.75">
      <c r="D532" s="19"/>
      <c r="E532" s="19"/>
    </row>
    <row r="533" spans="4:5" ht="12.75">
      <c r="D533" s="19"/>
      <c r="E533" s="19"/>
    </row>
    <row r="534" spans="4:5" ht="12.75">
      <c r="D534" s="19"/>
      <c r="E534" s="19"/>
    </row>
    <row r="535" spans="4:5" ht="12.75">
      <c r="D535" s="19"/>
      <c r="E535" s="19"/>
    </row>
    <row r="536" spans="4:5" ht="12.75">
      <c r="D536" s="19"/>
      <c r="E536" s="19"/>
    </row>
    <row r="537" spans="4:5" ht="12.75">
      <c r="D537" s="19"/>
      <c r="E537" s="19"/>
    </row>
    <row r="538" spans="4:5" ht="12.75">
      <c r="D538" s="19"/>
      <c r="E538" s="19"/>
    </row>
    <row r="539" spans="4:5" ht="12.75">
      <c r="D539" s="19"/>
      <c r="E539" s="19"/>
    </row>
    <row r="540" spans="4:5" ht="12.75">
      <c r="D540" s="19"/>
      <c r="E540" s="19"/>
    </row>
    <row r="541" spans="4:5" ht="12.75">
      <c r="D541" s="19"/>
      <c r="E541" s="19"/>
    </row>
    <row r="542" spans="4:5" ht="12.75">
      <c r="D542" s="19"/>
      <c r="E542" s="19"/>
    </row>
    <row r="543" spans="4:5" ht="12.75">
      <c r="D543" s="19"/>
      <c r="E543" s="19"/>
    </row>
    <row r="544" spans="4:5" ht="12.75">
      <c r="D544" s="19"/>
      <c r="E544" s="19"/>
    </row>
    <row r="545" spans="4:5" ht="12.75">
      <c r="D545" s="19"/>
      <c r="E545" s="19"/>
    </row>
    <row r="546" spans="4:5" ht="12.75">
      <c r="D546" s="19"/>
      <c r="E546" s="19"/>
    </row>
    <row r="547" spans="4:5" ht="12.75">
      <c r="D547" s="19"/>
      <c r="E547" s="19"/>
    </row>
    <row r="548" spans="4:5" ht="12.75">
      <c r="D548" s="19"/>
      <c r="E548" s="19"/>
    </row>
    <row r="549" spans="4:5" ht="12.75">
      <c r="D549" s="19"/>
      <c r="E549" s="19"/>
    </row>
    <row r="550" spans="4:5" ht="12.75">
      <c r="D550" s="19"/>
      <c r="E550" s="19"/>
    </row>
    <row r="551" spans="4:5" ht="12.75">
      <c r="D551" s="19"/>
      <c r="E551" s="19"/>
    </row>
    <row r="552" spans="4:5" ht="12.75">
      <c r="D552" s="19"/>
      <c r="E552" s="19"/>
    </row>
    <row r="553" spans="4:5" ht="12.75">
      <c r="D553" s="19"/>
      <c r="E553" s="19"/>
    </row>
    <row r="554" spans="4:5" ht="12.75">
      <c r="D554" s="19"/>
      <c r="E554" s="19"/>
    </row>
    <row r="555" spans="4:5" ht="12.75">
      <c r="D555" s="19"/>
      <c r="E555" s="19"/>
    </row>
    <row r="556" spans="4:5" ht="12.75">
      <c r="D556" s="19"/>
      <c r="E556" s="19"/>
    </row>
    <row r="557" spans="4:5" ht="12.75">
      <c r="D557" s="19"/>
      <c r="E557" s="19"/>
    </row>
    <row r="558" spans="4:5" ht="12.75">
      <c r="D558" s="19"/>
      <c r="E558" s="19"/>
    </row>
    <row r="559" spans="4:5" ht="12.75">
      <c r="D559" s="19"/>
      <c r="E559" s="19"/>
    </row>
    <row r="560" spans="4:5" ht="12.75">
      <c r="D560" s="19"/>
      <c r="E560" s="19"/>
    </row>
    <row r="561" spans="4:5" ht="12.75">
      <c r="D561" s="19"/>
      <c r="E561" s="19"/>
    </row>
    <row r="562" spans="4:5" ht="12.75">
      <c r="D562" s="19"/>
      <c r="E562" s="19"/>
    </row>
    <row r="563" spans="4:5" ht="12.75">
      <c r="D563" s="19"/>
      <c r="E563" s="19"/>
    </row>
    <row r="564" spans="4:5" ht="12.75">
      <c r="D564" s="19"/>
      <c r="E564" s="19"/>
    </row>
    <row r="565" spans="4:5" ht="12.75">
      <c r="D565" s="19"/>
      <c r="E565" s="19"/>
    </row>
    <row r="566" spans="4:5" ht="12.75">
      <c r="D566" s="19"/>
      <c r="E566" s="19"/>
    </row>
    <row r="567" spans="4:5" ht="12.75">
      <c r="D567" s="19"/>
      <c r="E567" s="19"/>
    </row>
    <row r="568" spans="4:5" ht="12.75">
      <c r="D568" s="19"/>
      <c r="E568" s="19"/>
    </row>
    <row r="569" spans="4:5" ht="12.75">
      <c r="D569" s="19"/>
      <c r="E569" s="19"/>
    </row>
    <row r="570" spans="4:5" ht="12.75">
      <c r="D570" s="19"/>
      <c r="E570" s="19"/>
    </row>
    <row r="571" spans="4:5" ht="12.75">
      <c r="D571" s="19"/>
      <c r="E571" s="19"/>
    </row>
    <row r="572" spans="4:5" ht="12.75">
      <c r="D572" s="19"/>
      <c r="E572" s="19"/>
    </row>
    <row r="573" spans="4:5" ht="12.75">
      <c r="D573" s="19"/>
      <c r="E573" s="19"/>
    </row>
    <row r="574" spans="4:5" ht="12.75">
      <c r="D574" s="19"/>
      <c r="E574" s="19"/>
    </row>
    <row r="575" spans="4:5" ht="12.75">
      <c r="D575" s="19"/>
      <c r="E575" s="19"/>
    </row>
    <row r="576" spans="4:5" ht="12.75">
      <c r="D576" s="19"/>
      <c r="E576" s="19"/>
    </row>
    <row r="577" spans="4:5" ht="12.75">
      <c r="D577" s="19"/>
      <c r="E577" s="19"/>
    </row>
    <row r="578" spans="4:5" ht="12.75">
      <c r="D578" s="19"/>
      <c r="E578" s="19"/>
    </row>
    <row r="579" spans="4:5" ht="12.75">
      <c r="D579" s="19"/>
      <c r="E579" s="19"/>
    </row>
    <row r="580" spans="4:5" ht="12.75">
      <c r="D580" s="19"/>
      <c r="E580" s="19"/>
    </row>
    <row r="581" spans="4:5" ht="12.75">
      <c r="D581" s="19"/>
      <c r="E581" s="19"/>
    </row>
    <row r="582" spans="4:5" ht="12.75">
      <c r="D582" s="19"/>
      <c r="E582" s="19"/>
    </row>
    <row r="583" spans="4:5" ht="12.75">
      <c r="D583" s="19"/>
      <c r="E583" s="19"/>
    </row>
    <row r="584" spans="4:5" ht="12.75">
      <c r="D584" s="19"/>
      <c r="E584" s="19"/>
    </row>
    <row r="585" spans="4:5" ht="12.75">
      <c r="D585" s="19"/>
      <c r="E585" s="19"/>
    </row>
    <row r="586" spans="4:5" ht="12.75">
      <c r="D586" s="19"/>
      <c r="E586" s="19"/>
    </row>
    <row r="587" spans="4:5" ht="12.75">
      <c r="D587" s="19"/>
      <c r="E587" s="19"/>
    </row>
    <row r="588" spans="4:5" ht="12.75">
      <c r="D588" s="19"/>
      <c r="E588" s="19"/>
    </row>
    <row r="589" spans="4:5" ht="12.75">
      <c r="D589" s="19"/>
      <c r="E589" s="19"/>
    </row>
    <row r="590" spans="4:5" ht="12.75">
      <c r="D590" s="19"/>
      <c r="E590" s="19"/>
    </row>
    <row r="591" spans="4:5" ht="12.75">
      <c r="D591" s="19"/>
      <c r="E591" s="19"/>
    </row>
    <row r="592" spans="4:5" ht="12.75">
      <c r="D592" s="19"/>
      <c r="E592" s="19"/>
    </row>
    <row r="593" spans="4:5" ht="12.75">
      <c r="D593" s="19"/>
      <c r="E593" s="19"/>
    </row>
    <row r="594" spans="4:5" ht="12.75">
      <c r="D594" s="19"/>
      <c r="E594" s="19"/>
    </row>
    <row r="595" spans="4:5" ht="12.75">
      <c r="D595" s="19"/>
      <c r="E595" s="19"/>
    </row>
    <row r="596" spans="4:5" ht="12.75">
      <c r="D596" s="19"/>
      <c r="E596" s="19"/>
    </row>
    <row r="597" spans="4:5" ht="12.75">
      <c r="D597" s="19"/>
      <c r="E597" s="19"/>
    </row>
    <row r="598" spans="4:5" ht="12.75">
      <c r="D598" s="19"/>
      <c r="E598" s="19"/>
    </row>
    <row r="599" spans="4:5" ht="12.75">
      <c r="D599" s="19"/>
      <c r="E599" s="19"/>
    </row>
    <row r="600" spans="4:5" ht="12.75">
      <c r="D600" s="19"/>
      <c r="E600" s="19"/>
    </row>
    <row r="601" spans="4:5" ht="12.75">
      <c r="D601" s="19"/>
      <c r="E601" s="19"/>
    </row>
    <row r="602" spans="4:5" ht="12.75">
      <c r="D602" s="19"/>
      <c r="E602" s="19"/>
    </row>
    <row r="603" spans="4:5" ht="12.75">
      <c r="D603" s="19"/>
      <c r="E603" s="19"/>
    </row>
    <row r="604" spans="4:5" ht="12.75">
      <c r="D604" s="19"/>
      <c r="E604" s="19"/>
    </row>
    <row r="605" spans="4:5" ht="12.75">
      <c r="D605" s="19"/>
      <c r="E605" s="19"/>
    </row>
    <row r="606" spans="4:5" ht="12.75">
      <c r="D606" s="19"/>
      <c r="E606" s="19"/>
    </row>
    <row r="607" spans="4:5" ht="12.75">
      <c r="D607" s="19"/>
      <c r="E607" s="19"/>
    </row>
    <row r="608" spans="4:5" ht="12.75">
      <c r="D608" s="19"/>
      <c r="E608" s="19"/>
    </row>
    <row r="609" spans="4:5" ht="12.75">
      <c r="D609" s="19"/>
      <c r="E609" s="19"/>
    </row>
    <row r="610" spans="4:5" ht="12.75">
      <c r="D610" s="19"/>
      <c r="E610" s="19"/>
    </row>
    <row r="611" spans="4:5" ht="12.75">
      <c r="D611" s="19"/>
      <c r="E611" s="19"/>
    </row>
    <row r="612" spans="4:5" ht="12.75">
      <c r="D612" s="19"/>
      <c r="E612" s="19"/>
    </row>
    <row r="613" spans="4:5" ht="12.75">
      <c r="D613" s="19"/>
      <c r="E613" s="19"/>
    </row>
    <row r="614" spans="4:5" ht="12.75">
      <c r="D614" s="19"/>
      <c r="E614" s="19"/>
    </row>
    <row r="615" spans="4:5" ht="12.75">
      <c r="D615" s="19"/>
      <c r="E615" s="19"/>
    </row>
    <row r="616" spans="4:5" ht="12.75">
      <c r="D616" s="19"/>
      <c r="E616" s="19"/>
    </row>
    <row r="617" spans="4:5" ht="12.75">
      <c r="D617" s="19"/>
      <c r="E617" s="19"/>
    </row>
    <row r="618" spans="4:5" ht="12.75">
      <c r="D618" s="19"/>
      <c r="E618" s="19"/>
    </row>
    <row r="619" spans="4:5" ht="12.75">
      <c r="D619" s="19"/>
      <c r="E619" s="19"/>
    </row>
    <row r="620" spans="4:5" ht="12.75">
      <c r="D620" s="19"/>
      <c r="E620" s="19"/>
    </row>
    <row r="621" spans="4:5" ht="12.75">
      <c r="D621" s="19"/>
      <c r="E621" s="19"/>
    </row>
    <row r="622" spans="4:5" ht="12.75">
      <c r="D622" s="19"/>
      <c r="E622" s="19"/>
    </row>
    <row r="623" spans="4:5" ht="12.75">
      <c r="D623" s="19"/>
      <c r="E623" s="19"/>
    </row>
    <row r="624" spans="4:5" ht="12.75">
      <c r="D624" s="19"/>
      <c r="E624" s="19"/>
    </row>
    <row r="625" spans="4:5" ht="12.75">
      <c r="D625" s="19"/>
      <c r="E625" s="19"/>
    </row>
    <row r="626" spans="4:5" ht="12.75">
      <c r="D626" s="19"/>
      <c r="E626" s="19"/>
    </row>
    <row r="627" spans="4:5" ht="12.75">
      <c r="D627" s="19"/>
      <c r="E627" s="19"/>
    </row>
    <row r="628" spans="4:5" ht="12.75">
      <c r="D628" s="19"/>
      <c r="E628" s="19"/>
    </row>
    <row r="629" spans="4:5" ht="12.75">
      <c r="D629" s="19"/>
      <c r="E629" s="19"/>
    </row>
    <row r="630" spans="4:5" ht="12.75">
      <c r="D630" s="19"/>
      <c r="E630" s="19"/>
    </row>
    <row r="631" spans="4:5" ht="12.75">
      <c r="D631" s="19"/>
      <c r="E631" s="19"/>
    </row>
    <row r="632" spans="4:5" ht="12.75">
      <c r="D632" s="19"/>
      <c r="E632" s="19"/>
    </row>
    <row r="633" spans="4:5" ht="12.75">
      <c r="D633" s="19"/>
      <c r="E633" s="19"/>
    </row>
    <row r="634" spans="4:5" ht="12.75">
      <c r="D634" s="19"/>
      <c r="E634" s="19"/>
    </row>
    <row r="635" spans="4:5" ht="12.75">
      <c r="D635" s="19"/>
      <c r="E635" s="19"/>
    </row>
    <row r="636" spans="4:5" ht="12.75">
      <c r="D636" s="19"/>
      <c r="E636" s="19"/>
    </row>
    <row r="637" spans="4:5" ht="12.75">
      <c r="D637" s="19"/>
      <c r="E637" s="19"/>
    </row>
    <row r="638" spans="4:5" ht="12.75">
      <c r="D638" s="19"/>
      <c r="E638" s="19"/>
    </row>
    <row r="639" spans="4:5" ht="12.75">
      <c r="D639" s="19"/>
      <c r="E639" s="19"/>
    </row>
    <row r="640" spans="4:5" ht="12.75">
      <c r="D640" s="19"/>
      <c r="E640" s="19"/>
    </row>
    <row r="641" spans="4:5" ht="12.75">
      <c r="D641" s="19"/>
      <c r="E641" s="19"/>
    </row>
    <row r="642" spans="4:5" ht="12.75">
      <c r="D642" s="19"/>
      <c r="E642" s="19"/>
    </row>
    <row r="643" spans="4:5" ht="12.75">
      <c r="D643" s="19"/>
      <c r="E643" s="19"/>
    </row>
    <row r="644" spans="4:5" ht="12.75">
      <c r="D644" s="19"/>
      <c r="E644" s="19"/>
    </row>
    <row r="645" spans="4:5" ht="12.75">
      <c r="D645" s="19"/>
      <c r="E645" s="19"/>
    </row>
    <row r="646" spans="4:5" ht="12.75">
      <c r="D646" s="19"/>
      <c r="E646" s="19"/>
    </row>
    <row r="647" spans="4:5" ht="12.75">
      <c r="D647" s="19"/>
      <c r="E647" s="19"/>
    </row>
    <row r="648" spans="4:5" ht="12.75">
      <c r="D648" s="19"/>
      <c r="E648" s="19"/>
    </row>
    <row r="649" spans="4:5" ht="12.75">
      <c r="D649" s="19"/>
      <c r="E649" s="19"/>
    </row>
    <row r="650" spans="4:5" ht="12.75">
      <c r="D650" s="19"/>
      <c r="E650" s="19"/>
    </row>
    <row r="651" spans="4:5" ht="12.75">
      <c r="D651" s="19"/>
      <c r="E651" s="19"/>
    </row>
    <row r="652" spans="4:5" ht="12.75">
      <c r="D652" s="19"/>
      <c r="E652" s="19"/>
    </row>
    <row r="653" spans="4:5" ht="12.75">
      <c r="D653" s="19"/>
      <c r="E653" s="19"/>
    </row>
    <row r="654" spans="4:5" ht="12.75">
      <c r="D654" s="19"/>
      <c r="E654" s="19"/>
    </row>
    <row r="655" spans="4:5" ht="12.75">
      <c r="D655" s="19"/>
      <c r="E655" s="19"/>
    </row>
    <row r="656" spans="4:5" ht="12.75">
      <c r="D656" s="19"/>
      <c r="E656" s="19"/>
    </row>
    <row r="657" spans="4:5" ht="12.75">
      <c r="D657" s="19"/>
      <c r="E657" s="19"/>
    </row>
    <row r="658" spans="4:5" ht="12.75">
      <c r="D658" s="19"/>
      <c r="E658" s="19"/>
    </row>
    <row r="659" spans="4:5" ht="12.75">
      <c r="D659" s="19"/>
      <c r="E659" s="19"/>
    </row>
    <row r="660" spans="4:5" ht="12.75">
      <c r="D660" s="19"/>
      <c r="E660" s="19"/>
    </row>
    <row r="661" spans="4:5" ht="12.75">
      <c r="D661" s="19"/>
      <c r="E661" s="19"/>
    </row>
    <row r="662" spans="4:5" ht="12.75">
      <c r="D662" s="19"/>
      <c r="E662" s="19"/>
    </row>
    <row r="663" spans="4:5" ht="12.75">
      <c r="D663" s="19"/>
      <c r="E663" s="19"/>
    </row>
    <row r="664" spans="4:5" ht="12.75">
      <c r="D664" s="19"/>
      <c r="E664" s="19"/>
    </row>
    <row r="665" spans="4:5" ht="12.75">
      <c r="D665" s="19"/>
      <c r="E665" s="19"/>
    </row>
    <row r="666" spans="4:5" ht="12.75">
      <c r="D666" s="19"/>
      <c r="E666" s="19"/>
    </row>
    <row r="667" spans="4:5" ht="12.75">
      <c r="D667" s="19"/>
      <c r="E667" s="19"/>
    </row>
    <row r="668" spans="4:5" ht="12.75">
      <c r="D668" s="19"/>
      <c r="E668" s="19"/>
    </row>
    <row r="669" spans="4:5" ht="12.75">
      <c r="D669" s="19"/>
      <c r="E669" s="19"/>
    </row>
    <row r="670" spans="4:5" ht="12.75">
      <c r="D670" s="19"/>
      <c r="E670" s="19"/>
    </row>
    <row r="671" spans="4:5" ht="12.75">
      <c r="D671" s="19"/>
      <c r="E671" s="19"/>
    </row>
    <row r="672" spans="4:5" ht="12.75">
      <c r="D672" s="19"/>
      <c r="E672" s="19"/>
    </row>
    <row r="673" spans="4:5" ht="12.75">
      <c r="D673" s="19"/>
      <c r="E673" s="19"/>
    </row>
    <row r="674" spans="4:5" ht="12.75">
      <c r="D674" s="19"/>
      <c r="E674" s="19"/>
    </row>
    <row r="675" spans="4:5" ht="12.75">
      <c r="D675" s="19"/>
      <c r="E675" s="19"/>
    </row>
    <row r="676" spans="4:5" ht="12.75">
      <c r="D676" s="19"/>
      <c r="E676" s="19"/>
    </row>
    <row r="677" spans="4:5" ht="12.75">
      <c r="D677" s="19"/>
      <c r="E677" s="19"/>
    </row>
    <row r="678" spans="4:5" ht="12.75">
      <c r="D678" s="19"/>
      <c r="E678" s="19"/>
    </row>
    <row r="679" spans="4:5" ht="12.75">
      <c r="D679" s="19"/>
      <c r="E679" s="19"/>
    </row>
    <row r="680" spans="4:5" ht="12.75">
      <c r="D680" s="19"/>
      <c r="E680" s="19"/>
    </row>
    <row r="681" spans="4:5" ht="12.75">
      <c r="D681" s="19"/>
      <c r="E681" s="19"/>
    </row>
    <row r="682" spans="4:5" ht="12.75">
      <c r="D682" s="19"/>
      <c r="E682" s="19"/>
    </row>
    <row r="683" spans="4:5" ht="12.75">
      <c r="D683" s="19"/>
      <c r="E683" s="19"/>
    </row>
    <row r="684" spans="4:5" ht="12.75">
      <c r="D684" s="19"/>
      <c r="E684" s="19"/>
    </row>
    <row r="685" spans="4:5" ht="12.75">
      <c r="D685" s="19"/>
      <c r="E685" s="19"/>
    </row>
    <row r="686" spans="4:5" ht="12.75">
      <c r="D686" s="19"/>
      <c r="E686" s="19"/>
    </row>
    <row r="687" spans="4:5" ht="12.75">
      <c r="D687" s="19"/>
      <c r="E687" s="19"/>
    </row>
    <row r="688" spans="4:5" ht="12.75">
      <c r="D688" s="19"/>
      <c r="E688" s="19"/>
    </row>
    <row r="689" spans="4:5" ht="12.75">
      <c r="D689" s="19"/>
      <c r="E689" s="19"/>
    </row>
    <row r="690" spans="4:5" ht="12.75">
      <c r="D690" s="19"/>
      <c r="E690" s="19"/>
    </row>
    <row r="691" spans="4:5" ht="12.75">
      <c r="D691" s="19"/>
      <c r="E691" s="19"/>
    </row>
    <row r="692" spans="4:5" ht="12.75">
      <c r="D692" s="19"/>
      <c r="E692" s="19"/>
    </row>
    <row r="693" spans="4:5" ht="12.75">
      <c r="D693" s="19"/>
      <c r="E693" s="19"/>
    </row>
    <row r="694" spans="4:5" ht="12.75">
      <c r="D694" s="19"/>
      <c r="E694" s="19"/>
    </row>
    <row r="695" spans="4:5" ht="12.75">
      <c r="D695" s="19"/>
      <c r="E695" s="19"/>
    </row>
    <row r="696" spans="4:5" ht="12.75">
      <c r="D696" s="19"/>
      <c r="E696" s="19"/>
    </row>
    <row r="697" spans="4:5" ht="12.75">
      <c r="D697" s="19"/>
      <c r="E697" s="19"/>
    </row>
    <row r="698" spans="4:5" ht="12.75">
      <c r="D698" s="19"/>
      <c r="E698" s="19"/>
    </row>
    <row r="699" spans="4:5" ht="12.75">
      <c r="D699" s="19"/>
      <c r="E699" s="19"/>
    </row>
    <row r="700" spans="4:5" ht="12.75">
      <c r="D700" s="19"/>
      <c r="E700" s="19"/>
    </row>
    <row r="701" spans="4:5" ht="12.75">
      <c r="D701" s="19"/>
      <c r="E701" s="19"/>
    </row>
    <row r="702" spans="4:5" ht="12.75">
      <c r="D702" s="19"/>
      <c r="E702" s="19"/>
    </row>
    <row r="703" spans="4:5" ht="12.75">
      <c r="D703" s="19"/>
      <c r="E703" s="19"/>
    </row>
    <row r="704" spans="4:5" ht="12.75">
      <c r="D704" s="19"/>
      <c r="E704" s="19"/>
    </row>
    <row r="705" spans="4:5" ht="12.75">
      <c r="D705" s="19"/>
      <c r="E705" s="19"/>
    </row>
    <row r="706" spans="4:5" ht="12.75">
      <c r="D706" s="19"/>
      <c r="E706" s="19"/>
    </row>
    <row r="707" spans="4:5" ht="12.75">
      <c r="D707" s="19"/>
      <c r="E707" s="19"/>
    </row>
    <row r="708" spans="4:5" ht="12.75">
      <c r="D708" s="19"/>
      <c r="E708" s="19"/>
    </row>
    <row r="709" spans="4:5" ht="12.75">
      <c r="D709" s="19"/>
      <c r="E709" s="19"/>
    </row>
    <row r="710" spans="4:5" ht="12.75">
      <c r="D710" s="19"/>
      <c r="E710" s="19"/>
    </row>
    <row r="711" spans="4:5" ht="12.75">
      <c r="D711" s="19"/>
      <c r="E711" s="19"/>
    </row>
    <row r="712" spans="4:5" ht="12.75">
      <c r="D712" s="19"/>
      <c r="E712" s="19"/>
    </row>
    <row r="713" spans="4:5" ht="12.75">
      <c r="D713" s="19"/>
      <c r="E713" s="19"/>
    </row>
    <row r="714" spans="4:5" ht="12.75">
      <c r="D714" s="19"/>
      <c r="E714" s="19"/>
    </row>
    <row r="715" spans="4:5" ht="12.75">
      <c r="D715" s="19"/>
      <c r="E715" s="19"/>
    </row>
    <row r="716" spans="4:5" ht="12.75">
      <c r="D716" s="19"/>
      <c r="E716" s="19"/>
    </row>
    <row r="717" spans="4:5" ht="12.75">
      <c r="D717" s="19"/>
      <c r="E717" s="19"/>
    </row>
    <row r="718" spans="4:5" ht="12.75">
      <c r="D718" s="19"/>
      <c r="E718" s="19"/>
    </row>
    <row r="719" spans="4:5" ht="12.75">
      <c r="D719" s="19"/>
      <c r="E719" s="19"/>
    </row>
    <row r="720" spans="4:5" ht="12.75">
      <c r="D720" s="19"/>
      <c r="E720" s="19"/>
    </row>
    <row r="721" spans="4:5" ht="12.75">
      <c r="D721" s="19"/>
      <c r="E721" s="19"/>
    </row>
    <row r="722" spans="4:5" ht="12.75">
      <c r="D722" s="19"/>
      <c r="E722" s="19"/>
    </row>
    <row r="723" spans="4:5" ht="12.75">
      <c r="D723" s="19"/>
      <c r="E723" s="19"/>
    </row>
    <row r="724" spans="4:5" ht="12.75">
      <c r="D724" s="19"/>
      <c r="E724" s="19"/>
    </row>
    <row r="725" spans="4:5" ht="12.75">
      <c r="D725" s="19"/>
      <c r="E725" s="19"/>
    </row>
    <row r="726" spans="4:5" ht="12.75">
      <c r="D726" s="19"/>
      <c r="E726" s="19"/>
    </row>
    <row r="727" spans="4:5" ht="12.75">
      <c r="D727" s="19"/>
      <c r="E727" s="19"/>
    </row>
    <row r="728" spans="4:5" ht="12.75">
      <c r="D728" s="19"/>
      <c r="E728" s="19"/>
    </row>
    <row r="729" spans="4:5" ht="12.75">
      <c r="D729" s="19"/>
      <c r="E729" s="19"/>
    </row>
    <row r="730" spans="4:5" ht="12.75">
      <c r="D730" s="19"/>
      <c r="E730" s="19"/>
    </row>
    <row r="731" spans="4:5" ht="12.75">
      <c r="D731" s="19"/>
      <c r="E731" s="19"/>
    </row>
    <row r="732" spans="4:5" ht="12.75">
      <c r="D732" s="19"/>
      <c r="E732" s="19"/>
    </row>
    <row r="733" spans="4:5" ht="12.75">
      <c r="D733" s="19"/>
      <c r="E733" s="19"/>
    </row>
    <row r="734" spans="4:5" ht="12.75">
      <c r="D734" s="19"/>
      <c r="E734" s="19"/>
    </row>
    <row r="735" spans="4:5" ht="12.75">
      <c r="D735" s="19"/>
      <c r="E735" s="19"/>
    </row>
    <row r="736" spans="4:5" ht="12.75">
      <c r="D736" s="19"/>
      <c r="E736" s="19"/>
    </row>
    <row r="737" spans="4:5" ht="12.75">
      <c r="D737" s="19"/>
      <c r="E737" s="19"/>
    </row>
    <row r="738" spans="4:5" ht="12.75">
      <c r="D738" s="19"/>
      <c r="E738" s="19"/>
    </row>
    <row r="739" spans="4:5" ht="12.75">
      <c r="D739" s="19"/>
      <c r="E739" s="19"/>
    </row>
    <row r="740" spans="4:5" ht="12.75">
      <c r="D740" s="19"/>
      <c r="E740" s="19"/>
    </row>
    <row r="741" spans="4:5" ht="12.75">
      <c r="D741" s="19"/>
      <c r="E741" s="19"/>
    </row>
    <row r="742" spans="4:5" ht="12.75">
      <c r="D742" s="19"/>
      <c r="E742" s="19"/>
    </row>
    <row r="743" spans="4:5" ht="12.75">
      <c r="D743" s="19"/>
      <c r="E743" s="19"/>
    </row>
    <row r="744" spans="4:5" ht="12.75">
      <c r="D744" s="19"/>
      <c r="E744" s="19"/>
    </row>
    <row r="745" spans="4:5" ht="12.75">
      <c r="D745" s="19"/>
      <c r="E745" s="19"/>
    </row>
    <row r="746" spans="4:5" ht="12.75">
      <c r="D746" s="19"/>
      <c r="E746" s="19"/>
    </row>
    <row r="747" spans="4:5" ht="12.75">
      <c r="D747" s="19"/>
      <c r="E747" s="19"/>
    </row>
    <row r="748" spans="4:5" ht="12.75">
      <c r="D748" s="19"/>
      <c r="E748" s="19"/>
    </row>
    <row r="749" spans="4:5" ht="12.75">
      <c r="D749" s="19"/>
      <c r="E749" s="19"/>
    </row>
    <row r="750" spans="4:5" ht="12.75">
      <c r="D750" s="19"/>
      <c r="E750" s="19"/>
    </row>
    <row r="751" spans="4:5" ht="12.75">
      <c r="D751" s="19"/>
      <c r="E751" s="19"/>
    </row>
    <row r="752" spans="4:5" ht="12.75">
      <c r="D752" s="19"/>
      <c r="E752" s="19"/>
    </row>
    <row r="753" spans="4:5" ht="12.75">
      <c r="D753" s="19"/>
      <c r="E753" s="19"/>
    </row>
    <row r="754" spans="4:5" ht="12.75">
      <c r="D754" s="19"/>
      <c r="E754" s="19"/>
    </row>
    <row r="755" spans="4:5" ht="12.75">
      <c r="D755" s="19"/>
      <c r="E755" s="19"/>
    </row>
    <row r="756" spans="4:5" ht="12.75">
      <c r="D756" s="19"/>
      <c r="E756" s="19"/>
    </row>
    <row r="757" spans="4:5" ht="12.75">
      <c r="D757" s="19"/>
      <c r="E757" s="19"/>
    </row>
    <row r="758" spans="4:5" ht="12.75">
      <c r="D758" s="19"/>
      <c r="E758" s="19"/>
    </row>
    <row r="759" spans="4:5" ht="12.75">
      <c r="D759" s="19"/>
      <c r="E759" s="19"/>
    </row>
    <row r="760" spans="4:5" ht="12.75">
      <c r="D760" s="19"/>
      <c r="E760" s="19"/>
    </row>
    <row r="761" spans="4:5" ht="12.75">
      <c r="D761" s="19"/>
      <c r="E761" s="19"/>
    </row>
    <row r="762" spans="4:5" ht="12.75">
      <c r="D762" s="19"/>
      <c r="E762" s="19"/>
    </row>
    <row r="763" spans="4:5" ht="12.75">
      <c r="D763" s="19"/>
      <c r="E763" s="19"/>
    </row>
    <row r="764" spans="4:5" ht="12.75">
      <c r="D764" s="19"/>
      <c r="E764" s="19"/>
    </row>
    <row r="765" spans="4:5" ht="12.75">
      <c r="D765" s="19"/>
      <c r="E765" s="19"/>
    </row>
    <row r="766" spans="4:5" ht="12.75">
      <c r="D766" s="19"/>
      <c r="E766" s="19"/>
    </row>
    <row r="767" spans="4:5" ht="12.75">
      <c r="D767" s="19"/>
      <c r="E767" s="19"/>
    </row>
    <row r="768" spans="4:5" ht="12.75">
      <c r="D768" s="19"/>
      <c r="E768" s="19"/>
    </row>
    <row r="769" spans="4:5" ht="12.75">
      <c r="D769" s="19"/>
      <c r="E769" s="19"/>
    </row>
    <row r="770" spans="4:5" ht="12.75">
      <c r="D770" s="19"/>
      <c r="E770" s="19"/>
    </row>
    <row r="771" spans="4:5" ht="12.75">
      <c r="D771" s="19"/>
      <c r="E771" s="19"/>
    </row>
    <row r="772" spans="4:5" ht="12.75">
      <c r="D772" s="19"/>
      <c r="E772" s="19"/>
    </row>
    <row r="773" spans="4:5" ht="12.75">
      <c r="D773" s="19"/>
      <c r="E773" s="19"/>
    </row>
    <row r="774" spans="4:5" ht="12.75">
      <c r="D774" s="19"/>
      <c r="E774" s="19"/>
    </row>
    <row r="775" spans="4:5" ht="12.75">
      <c r="D775" s="19"/>
      <c r="E775" s="19"/>
    </row>
    <row r="776" spans="4:5" ht="12.75">
      <c r="D776" s="19"/>
      <c r="E776" s="19"/>
    </row>
    <row r="777" spans="4:5" ht="12.75">
      <c r="D777" s="19"/>
      <c r="E777" s="19"/>
    </row>
    <row r="778" spans="4:5" ht="12.75">
      <c r="D778" s="19"/>
      <c r="E778" s="19"/>
    </row>
    <row r="779" spans="4:5" ht="12.75">
      <c r="D779" s="19"/>
      <c r="E779" s="19"/>
    </row>
    <row r="780" spans="4:5" ht="12.75">
      <c r="D780" s="19"/>
      <c r="E780" s="19"/>
    </row>
    <row r="781" spans="4:5" ht="12.75">
      <c r="D781" s="19"/>
      <c r="E781" s="19"/>
    </row>
    <row r="782" spans="4:5" ht="12.75">
      <c r="D782" s="19"/>
      <c r="E782" s="19"/>
    </row>
    <row r="783" spans="4:5" ht="12.75">
      <c r="D783" s="19"/>
      <c r="E783" s="19"/>
    </row>
    <row r="784" spans="4:5" ht="12.75">
      <c r="D784" s="19"/>
      <c r="E784" s="19"/>
    </row>
    <row r="785" spans="4:5" ht="12.75">
      <c r="D785" s="19"/>
      <c r="E785" s="19"/>
    </row>
    <row r="786" spans="4:5" ht="12.75">
      <c r="D786" s="19"/>
      <c r="E786" s="19"/>
    </row>
    <row r="787" spans="4:5" ht="12.75">
      <c r="D787" s="19"/>
      <c r="E787" s="19"/>
    </row>
    <row r="788" spans="4:5" ht="12.75">
      <c r="D788" s="19"/>
      <c r="E788" s="19"/>
    </row>
    <row r="789" spans="4:5" ht="12.75">
      <c r="D789" s="19"/>
      <c r="E789" s="19"/>
    </row>
    <row r="790" spans="4:5" ht="12.75">
      <c r="D790" s="19"/>
      <c r="E790" s="19"/>
    </row>
    <row r="791" spans="4:5" ht="12.75">
      <c r="D791" s="19"/>
      <c r="E791" s="19"/>
    </row>
    <row r="792" spans="4:5" ht="12.75">
      <c r="D792" s="19"/>
      <c r="E792" s="19"/>
    </row>
    <row r="793" spans="4:5" ht="12.75">
      <c r="D793" s="19"/>
      <c r="E793" s="19"/>
    </row>
    <row r="794" spans="4:5" ht="12.75">
      <c r="D794" s="19"/>
      <c r="E794" s="19"/>
    </row>
    <row r="795" spans="4:5" ht="12.75">
      <c r="D795" s="19"/>
      <c r="E795" s="19"/>
    </row>
    <row r="796" spans="4:5" ht="12.75">
      <c r="D796" s="19"/>
      <c r="E796" s="19"/>
    </row>
    <row r="797" spans="4:5" ht="12.75">
      <c r="D797" s="19"/>
      <c r="E797" s="19"/>
    </row>
    <row r="798" spans="4:5" ht="12.75">
      <c r="D798" s="19"/>
      <c r="E798" s="19"/>
    </row>
    <row r="799" spans="4:5" ht="12.75">
      <c r="D799" s="19"/>
      <c r="E799" s="19"/>
    </row>
    <row r="800" spans="4:5" ht="12.75">
      <c r="D800" s="19"/>
      <c r="E800" s="19"/>
    </row>
    <row r="801" spans="4:5" ht="12.75">
      <c r="D801" s="19"/>
      <c r="E801" s="19"/>
    </row>
    <row r="802" spans="4:5" ht="12.75">
      <c r="D802" s="19"/>
      <c r="E802" s="19"/>
    </row>
    <row r="803" spans="4:5" ht="12.75">
      <c r="D803" s="19"/>
      <c r="E803" s="19"/>
    </row>
    <row r="804" spans="4:5" ht="12.75">
      <c r="D804" s="19"/>
      <c r="E804" s="19"/>
    </row>
    <row r="805" spans="4:5" ht="12.75">
      <c r="D805" s="19"/>
      <c r="E805" s="19"/>
    </row>
    <row r="806" spans="4:5" ht="12.75">
      <c r="D806" s="19"/>
      <c r="E806" s="19"/>
    </row>
    <row r="807" spans="4:5" ht="12.75">
      <c r="D807" s="19"/>
      <c r="E807" s="19"/>
    </row>
    <row r="808" spans="4:5" ht="12.75">
      <c r="D808" s="19"/>
      <c r="E808" s="19"/>
    </row>
    <row r="809" spans="4:5" ht="12.75">
      <c r="D809" s="19"/>
      <c r="E809" s="19"/>
    </row>
    <row r="810" spans="4:5" ht="12.75">
      <c r="D810" s="19"/>
      <c r="E810" s="19"/>
    </row>
    <row r="811" spans="4:5" ht="12.75">
      <c r="D811" s="19"/>
      <c r="E811" s="19"/>
    </row>
    <row r="812" spans="4:5" ht="12.75">
      <c r="D812" s="19"/>
      <c r="E812" s="19"/>
    </row>
    <row r="813" spans="4:5" ht="12.75">
      <c r="D813" s="19"/>
      <c r="E813" s="19"/>
    </row>
    <row r="814" spans="4:5" ht="12.75">
      <c r="D814" s="19"/>
      <c r="E814" s="19"/>
    </row>
    <row r="815" spans="4:5" ht="12.75">
      <c r="D815" s="19"/>
      <c r="E815" s="19"/>
    </row>
    <row r="816" spans="4:5" ht="12.75">
      <c r="D816" s="19"/>
      <c r="E816" s="19"/>
    </row>
    <row r="817" spans="4:5" ht="12.75">
      <c r="D817" s="19"/>
      <c r="E817" s="19"/>
    </row>
    <row r="818" spans="4:5" ht="12.75">
      <c r="D818" s="19"/>
      <c r="E818" s="19"/>
    </row>
    <row r="819" spans="4:5" ht="12.75">
      <c r="D819" s="19"/>
      <c r="E819" s="19"/>
    </row>
    <row r="820" spans="4:5" ht="12.75">
      <c r="D820" s="19"/>
      <c r="E820" s="19"/>
    </row>
    <row r="821" spans="4:5" ht="12.75">
      <c r="D821" s="19"/>
      <c r="E821" s="19"/>
    </row>
    <row r="822" spans="4:5" ht="12.75">
      <c r="D822" s="19"/>
      <c r="E822" s="19"/>
    </row>
    <row r="823" spans="4:5" ht="12.75">
      <c r="D823" s="19"/>
      <c r="E823" s="19"/>
    </row>
    <row r="824" spans="4:5" ht="12.75">
      <c r="D824" s="19"/>
      <c r="E824" s="19"/>
    </row>
    <row r="825" spans="4:5" ht="12.75">
      <c r="D825" s="19"/>
      <c r="E825" s="19"/>
    </row>
    <row r="826" spans="4:5" ht="12.75">
      <c r="D826" s="19"/>
      <c r="E826" s="19"/>
    </row>
    <row r="827" spans="4:5" ht="12.75">
      <c r="D827" s="19"/>
      <c r="E827" s="19"/>
    </row>
    <row r="828" spans="4:5" ht="12.75">
      <c r="D828" s="19"/>
      <c r="E828" s="19"/>
    </row>
    <row r="829" spans="4:5" ht="12.75">
      <c r="D829" s="19"/>
      <c r="E829" s="19"/>
    </row>
    <row r="830" spans="4:5" ht="12.75">
      <c r="D830" s="19"/>
      <c r="E830" s="19"/>
    </row>
    <row r="831" spans="4:5" ht="12.75">
      <c r="D831" s="19"/>
      <c r="E831" s="19"/>
    </row>
    <row r="832" spans="4:5" ht="12.75">
      <c r="D832" s="19"/>
      <c r="E832" s="19"/>
    </row>
    <row r="833" spans="4:5" ht="12.75">
      <c r="D833" s="19"/>
      <c r="E833" s="19"/>
    </row>
    <row r="834" spans="4:5" ht="12.75">
      <c r="D834" s="19"/>
      <c r="E834" s="19"/>
    </row>
    <row r="835" spans="4:5" ht="12.75">
      <c r="D835" s="19"/>
      <c r="E835" s="19"/>
    </row>
    <row r="836" spans="4:5" ht="12.75">
      <c r="D836" s="19"/>
      <c r="E836" s="19"/>
    </row>
    <row r="837" spans="4:5" ht="12.75">
      <c r="D837" s="19"/>
      <c r="E837" s="19"/>
    </row>
    <row r="838" spans="4:5" ht="12.75">
      <c r="D838" s="19"/>
      <c r="E838" s="19"/>
    </row>
    <row r="839" spans="4:5" ht="12.75">
      <c r="D839" s="19"/>
      <c r="E839" s="19"/>
    </row>
    <row r="840" spans="4:5" ht="12.75">
      <c r="D840" s="19"/>
      <c r="E840" s="19"/>
    </row>
    <row r="841" spans="4:5" ht="12.75">
      <c r="D841" s="19"/>
      <c r="E841" s="19"/>
    </row>
    <row r="842" spans="4:5" ht="12.75">
      <c r="D842" s="19"/>
      <c r="E842" s="19"/>
    </row>
    <row r="843" spans="4:5" ht="12.75">
      <c r="D843" s="19"/>
      <c r="E843" s="19"/>
    </row>
    <row r="844" spans="4:5" ht="12.75">
      <c r="D844" s="19"/>
      <c r="E844" s="19"/>
    </row>
    <row r="845" spans="4:5" ht="12.75">
      <c r="D845" s="19"/>
      <c r="E845" s="19"/>
    </row>
    <row r="846" spans="4:5" ht="12.75">
      <c r="D846" s="19"/>
      <c r="E846" s="19"/>
    </row>
    <row r="847" spans="4:5" ht="12.75">
      <c r="D847" s="19"/>
      <c r="E847" s="19"/>
    </row>
    <row r="848" spans="4:5" ht="12.75">
      <c r="D848" s="19"/>
      <c r="E848" s="19"/>
    </row>
    <row r="849" spans="4:5" ht="12.75">
      <c r="D849" s="19"/>
      <c r="E849" s="19"/>
    </row>
    <row r="850" spans="4:5" ht="12.75">
      <c r="D850" s="19"/>
      <c r="E850" s="19"/>
    </row>
    <row r="851" spans="4:5" ht="12.75">
      <c r="D851" s="19"/>
      <c r="E851" s="19"/>
    </row>
    <row r="852" spans="4:5" ht="12.75">
      <c r="D852" s="19"/>
      <c r="E852" s="19"/>
    </row>
    <row r="853" spans="4:5" ht="12.75">
      <c r="D853" s="19"/>
      <c r="E853" s="19"/>
    </row>
    <row r="854" spans="4:5" ht="12.75">
      <c r="D854" s="19"/>
      <c r="E854" s="19"/>
    </row>
    <row r="855" spans="4:5" ht="12.75">
      <c r="D855" s="19"/>
      <c r="E855" s="19"/>
    </row>
    <row r="856" spans="4:5" ht="12.75">
      <c r="D856" s="19"/>
      <c r="E856" s="19"/>
    </row>
    <row r="857" spans="4:5" ht="12.75">
      <c r="D857" s="19"/>
      <c r="E857" s="19"/>
    </row>
    <row r="858" spans="4:5" ht="12.75">
      <c r="D858" s="19"/>
      <c r="E858" s="19"/>
    </row>
    <row r="859" spans="4:5" ht="12.75">
      <c r="D859" s="19"/>
      <c r="E859" s="19"/>
    </row>
    <row r="860" spans="4:5" ht="12.75">
      <c r="D860" s="19"/>
      <c r="E860" s="19"/>
    </row>
    <row r="861" spans="4:5" ht="12.75">
      <c r="D861" s="19"/>
      <c r="E861" s="19"/>
    </row>
    <row r="862" spans="4:5" ht="12.75">
      <c r="D862" s="19"/>
      <c r="E862" s="19"/>
    </row>
    <row r="863" spans="4:5" ht="12.75">
      <c r="D863" s="19"/>
      <c r="E863" s="19"/>
    </row>
    <row r="864" spans="4:5" ht="12.75">
      <c r="D864" s="19"/>
      <c r="E864" s="19"/>
    </row>
    <row r="865" spans="4:5" ht="12.75">
      <c r="D865" s="19"/>
      <c r="E865" s="19"/>
    </row>
    <row r="866" spans="4:5" ht="12.75">
      <c r="D866" s="19"/>
      <c r="E866" s="19"/>
    </row>
    <row r="867" spans="4:5" ht="12.75">
      <c r="D867" s="19"/>
      <c r="E867" s="19"/>
    </row>
    <row r="868" spans="4:5" ht="12.75">
      <c r="D868" s="19"/>
      <c r="E868" s="19"/>
    </row>
    <row r="869" spans="4:5" ht="12.75">
      <c r="D869" s="19"/>
      <c r="E869" s="19"/>
    </row>
    <row r="870" spans="4:5" ht="12.75">
      <c r="D870" s="19"/>
      <c r="E870" s="19"/>
    </row>
    <row r="871" spans="4:5" ht="12.75">
      <c r="D871" s="19"/>
      <c r="E871" s="19"/>
    </row>
    <row r="872" spans="4:5" ht="12.75">
      <c r="D872" s="19"/>
      <c r="E872" s="19"/>
    </row>
    <row r="873" spans="4:5" ht="12.75">
      <c r="D873" s="19"/>
      <c r="E873" s="19"/>
    </row>
    <row r="874" spans="4:5" ht="12.75">
      <c r="D874" s="19"/>
      <c r="E874" s="19"/>
    </row>
    <row r="875" spans="4:5" ht="12.75">
      <c r="D875" s="19"/>
      <c r="E875" s="19"/>
    </row>
    <row r="876" spans="4:5" ht="12.75">
      <c r="D876" s="19"/>
      <c r="E876" s="19"/>
    </row>
    <row r="877" spans="4:5" ht="12.75">
      <c r="D877" s="19"/>
      <c r="E877" s="19"/>
    </row>
    <row r="878" spans="4:5" ht="12.75">
      <c r="D878" s="19"/>
      <c r="E878" s="19"/>
    </row>
    <row r="879" spans="4:5" ht="12.75">
      <c r="D879" s="19"/>
      <c r="E879" s="19"/>
    </row>
    <row r="880" spans="4:5" ht="12.75">
      <c r="D880" s="19"/>
      <c r="E880" s="19"/>
    </row>
    <row r="881" spans="4:5" ht="12.75">
      <c r="D881" s="19"/>
      <c r="E881" s="19"/>
    </row>
    <row r="882" spans="4:5" ht="12.75">
      <c r="D882" s="19"/>
      <c r="E882" s="19"/>
    </row>
    <row r="883" spans="4:5" ht="12.75">
      <c r="D883" s="19"/>
      <c r="E883" s="19"/>
    </row>
    <row r="884" spans="4:5" ht="12.75">
      <c r="D884" s="19"/>
      <c r="E884" s="19"/>
    </row>
    <row r="885" spans="4:5" ht="12.75">
      <c r="D885" s="19"/>
      <c r="E885" s="19"/>
    </row>
    <row r="886" spans="4:5" ht="12.75">
      <c r="D886" s="19"/>
      <c r="E886" s="19"/>
    </row>
    <row r="887" spans="4:5" ht="12.75">
      <c r="D887" s="19"/>
      <c r="E887" s="19"/>
    </row>
    <row r="888" spans="4:5" ht="12.75">
      <c r="D888" s="19"/>
      <c r="E888" s="19"/>
    </row>
    <row r="889" spans="4:5" ht="12.75">
      <c r="D889" s="19"/>
      <c r="E889" s="19"/>
    </row>
    <row r="890" spans="4:5" ht="12.75">
      <c r="D890" s="19"/>
      <c r="E890" s="19"/>
    </row>
    <row r="891" spans="4:5" ht="12.75">
      <c r="D891" s="19"/>
      <c r="E891" s="19"/>
    </row>
    <row r="892" spans="4:5" ht="12.75">
      <c r="D892" s="19"/>
      <c r="E892" s="19"/>
    </row>
    <row r="893" spans="4:5" ht="12.75">
      <c r="D893" s="19"/>
      <c r="E893" s="19"/>
    </row>
    <row r="894" spans="4:5" ht="12.75">
      <c r="D894" s="19"/>
      <c r="E894" s="19"/>
    </row>
    <row r="895" spans="4:5" ht="12.75">
      <c r="D895" s="19"/>
      <c r="E895" s="19"/>
    </row>
    <row r="896" spans="4:5" ht="12.75">
      <c r="D896" s="19"/>
      <c r="E896" s="19"/>
    </row>
    <row r="897" spans="4:5" ht="12.75">
      <c r="D897" s="19"/>
      <c r="E897" s="19"/>
    </row>
    <row r="898" spans="4:5" ht="12.75">
      <c r="D898" s="19"/>
      <c r="E898" s="19"/>
    </row>
    <row r="899" spans="4:5" ht="12.75">
      <c r="D899" s="19"/>
      <c r="E899" s="19"/>
    </row>
    <row r="900" spans="4:5" ht="12.75">
      <c r="D900" s="19"/>
      <c r="E900" s="19"/>
    </row>
    <row r="901" spans="4:5" ht="12.75">
      <c r="D901" s="19"/>
      <c r="E901" s="19"/>
    </row>
    <row r="902" spans="4:5" ht="12.75">
      <c r="D902" s="19"/>
      <c r="E902" s="19"/>
    </row>
    <row r="903" spans="4:5" ht="12.75">
      <c r="D903" s="19"/>
      <c r="E903" s="19"/>
    </row>
    <row r="904" spans="4:5" ht="12.75">
      <c r="D904" s="19"/>
      <c r="E904" s="19"/>
    </row>
    <row r="905" spans="4:5" ht="12.75">
      <c r="D905" s="19"/>
      <c r="E905" s="19"/>
    </row>
    <row r="906" spans="4:5" ht="12.75">
      <c r="D906" s="19"/>
      <c r="E906" s="19"/>
    </row>
    <row r="907" spans="4:5" ht="12.75">
      <c r="D907" s="19"/>
      <c r="E907" s="19"/>
    </row>
    <row r="908" spans="4:5" ht="12.75">
      <c r="D908" s="19"/>
      <c r="E908" s="19"/>
    </row>
    <row r="909" spans="4:5" ht="12.75">
      <c r="D909" s="19"/>
      <c r="E909" s="19"/>
    </row>
    <row r="910" spans="4:5" ht="12.75">
      <c r="D910" s="19"/>
      <c r="E910" s="19"/>
    </row>
    <row r="911" spans="4:5" ht="12.75">
      <c r="D911" s="19"/>
      <c r="E911" s="19"/>
    </row>
    <row r="912" spans="4:5" ht="12.75">
      <c r="D912" s="19"/>
      <c r="E912" s="19"/>
    </row>
    <row r="913" spans="4:5" ht="12.75">
      <c r="D913" s="19"/>
      <c r="E913" s="19"/>
    </row>
    <row r="914" spans="4:5" ht="12.75">
      <c r="D914" s="19"/>
      <c r="E914" s="19"/>
    </row>
    <row r="915" spans="4:5" ht="12.75">
      <c r="D915" s="19"/>
      <c r="E915" s="19"/>
    </row>
    <row r="916" spans="4:5" ht="12.75">
      <c r="D916" s="19"/>
      <c r="E916" s="19"/>
    </row>
    <row r="917" spans="4:5" ht="12.75">
      <c r="D917" s="19"/>
      <c r="E917" s="19"/>
    </row>
    <row r="918" spans="4:5" ht="12.75">
      <c r="D918" s="19"/>
      <c r="E918" s="19"/>
    </row>
    <row r="919" spans="4:5" ht="12.75">
      <c r="D919" s="19"/>
      <c r="E919" s="19"/>
    </row>
    <row r="920" spans="4:5" ht="12.75">
      <c r="D920" s="19"/>
      <c r="E920" s="19"/>
    </row>
    <row r="921" spans="4:5" ht="12.75">
      <c r="D921" s="19"/>
      <c r="E921" s="19"/>
    </row>
    <row r="922" spans="4:5" ht="12.75">
      <c r="D922" s="19"/>
      <c r="E922" s="19"/>
    </row>
    <row r="923" spans="4:5" ht="12.75">
      <c r="D923" s="19"/>
      <c r="E923" s="19"/>
    </row>
    <row r="924" spans="4:5" ht="12.75">
      <c r="D924" s="19"/>
      <c r="E924" s="19"/>
    </row>
    <row r="925" spans="4:5" ht="12.75">
      <c r="D925" s="19"/>
      <c r="E925" s="19"/>
    </row>
    <row r="926" spans="4:5" ht="12.75">
      <c r="D926" s="19"/>
      <c r="E926" s="19"/>
    </row>
    <row r="927" spans="4:5" ht="12.75">
      <c r="D927" s="19"/>
      <c r="E927" s="19"/>
    </row>
    <row r="928" spans="4:5" ht="12.75">
      <c r="D928" s="19"/>
      <c r="E928" s="19"/>
    </row>
    <row r="929" spans="4:5" ht="12.75">
      <c r="D929" s="19"/>
      <c r="E929" s="19"/>
    </row>
    <row r="930" spans="4:5" ht="12.75">
      <c r="D930" s="19"/>
      <c r="E930" s="19"/>
    </row>
    <row r="931" spans="4:5" ht="12.75">
      <c r="D931" s="19"/>
      <c r="E931" s="19"/>
    </row>
    <row r="932" spans="4:5" ht="12.75">
      <c r="D932" s="19"/>
      <c r="E932" s="19"/>
    </row>
    <row r="933" spans="4:5" ht="12.75">
      <c r="D933" s="19"/>
      <c r="E933" s="19"/>
    </row>
    <row r="934" spans="4:5" ht="12.75">
      <c r="D934" s="19"/>
      <c r="E934" s="19"/>
    </row>
    <row r="935" spans="4:5" ht="12.75">
      <c r="D935" s="19"/>
      <c r="E935" s="19"/>
    </row>
    <row r="936" spans="4:5" ht="12.75">
      <c r="D936" s="19"/>
      <c r="E936" s="19"/>
    </row>
    <row r="937" spans="4:5" ht="12.75">
      <c r="D937" s="19"/>
      <c r="E937" s="19"/>
    </row>
    <row r="938" spans="4:5" ht="12.75">
      <c r="D938" s="19"/>
      <c r="E938" s="19"/>
    </row>
    <row r="939" spans="4:5" ht="12.75">
      <c r="D939" s="19"/>
      <c r="E939" s="19"/>
    </row>
    <row r="940" spans="4:5" ht="12.75">
      <c r="D940" s="19"/>
      <c r="E940" s="19"/>
    </row>
    <row r="941" spans="4:5" ht="12.75">
      <c r="D941" s="19"/>
      <c r="E941" s="19"/>
    </row>
    <row r="942" spans="4:5" ht="12.75">
      <c r="D942" s="19"/>
      <c r="E942" s="19"/>
    </row>
    <row r="943" spans="4:5" ht="12.75">
      <c r="D943" s="19"/>
      <c r="E943" s="19"/>
    </row>
    <row r="944" spans="4:5" ht="12.75">
      <c r="D944" s="19"/>
      <c r="E944" s="19"/>
    </row>
    <row r="945" spans="4:5" ht="12.75">
      <c r="D945" s="19"/>
      <c r="E945" s="19"/>
    </row>
    <row r="946" spans="4:5" ht="12.75">
      <c r="D946" s="19"/>
      <c r="E946" s="19"/>
    </row>
    <row r="947" spans="4:5" ht="12.75">
      <c r="D947" s="19"/>
      <c r="E947" s="19"/>
    </row>
    <row r="948" spans="4:5" ht="12.75">
      <c r="D948" s="19"/>
      <c r="E948" s="19"/>
    </row>
    <row r="949" spans="4:5" ht="12.75">
      <c r="D949" s="19"/>
      <c r="E949" s="19"/>
    </row>
    <row r="950" spans="4:5" ht="12.75">
      <c r="D950" s="19"/>
      <c r="E950" s="19"/>
    </row>
    <row r="951" spans="4:5" ht="12.75">
      <c r="D951" s="19"/>
      <c r="E951" s="19"/>
    </row>
    <row r="952" spans="4:5" ht="12.75">
      <c r="D952" s="19"/>
      <c r="E952" s="19"/>
    </row>
    <row r="953" spans="4:5" ht="12.75">
      <c r="D953" s="19"/>
      <c r="E953" s="19"/>
    </row>
    <row r="954" spans="4:5" ht="12.75">
      <c r="D954" s="19"/>
      <c r="E954" s="19"/>
    </row>
    <row r="955" spans="4:5" ht="12.75">
      <c r="D955" s="19"/>
      <c r="E955" s="19"/>
    </row>
    <row r="956" spans="4:5" ht="12.75">
      <c r="D956" s="19"/>
      <c r="E956" s="19"/>
    </row>
    <row r="957" spans="4:5" ht="12.75">
      <c r="D957" s="19"/>
      <c r="E957" s="19"/>
    </row>
    <row r="958" spans="4:5" ht="12.75">
      <c r="D958" s="19"/>
      <c r="E958" s="19"/>
    </row>
    <row r="959" spans="4:5" ht="12.75">
      <c r="D959" s="19"/>
      <c r="E959" s="19"/>
    </row>
    <row r="960" spans="4:5" ht="12.75">
      <c r="D960" s="19"/>
      <c r="E960" s="19"/>
    </row>
    <row r="961" spans="4:5" ht="12.75">
      <c r="D961" s="19"/>
      <c r="E961" s="19"/>
    </row>
    <row r="962" spans="4:5" ht="12.75">
      <c r="D962" s="19"/>
      <c r="E962" s="19"/>
    </row>
    <row r="963" spans="4:5" ht="12.75">
      <c r="D963" s="19"/>
      <c r="E963" s="19"/>
    </row>
    <row r="964" spans="4:5" ht="12.75">
      <c r="D964" s="19"/>
      <c r="E964" s="19"/>
    </row>
    <row r="965" spans="4:5" ht="12.75">
      <c r="D965" s="19"/>
      <c r="E965" s="19"/>
    </row>
    <row r="966" spans="4:5" ht="12.75">
      <c r="D966" s="19"/>
      <c r="E966" s="19"/>
    </row>
    <row r="967" spans="4:5" ht="12.75">
      <c r="D967" s="19"/>
      <c r="E967" s="19"/>
    </row>
    <row r="968" spans="4:5" ht="12.75">
      <c r="D968" s="19"/>
      <c r="E968" s="19"/>
    </row>
    <row r="969" spans="4:5" ht="12.75">
      <c r="D969" s="19"/>
      <c r="E969" s="19"/>
    </row>
    <row r="970" spans="4:5" ht="12.75">
      <c r="D970" s="19"/>
      <c r="E970" s="19"/>
    </row>
    <row r="971" spans="4:5" ht="12.75">
      <c r="D971" s="19"/>
      <c r="E971" s="19"/>
    </row>
    <row r="972" spans="4:5" ht="12.75">
      <c r="D972" s="19"/>
      <c r="E972" s="19"/>
    </row>
    <row r="973" spans="4:5" ht="12.75">
      <c r="D973" s="19"/>
      <c r="E973" s="19"/>
    </row>
    <row r="974" spans="4:5" ht="12.75">
      <c r="D974" s="19"/>
      <c r="E974" s="19"/>
    </row>
    <row r="975" spans="4:5" ht="12.75">
      <c r="D975" s="19"/>
      <c r="E975" s="19"/>
    </row>
    <row r="976" spans="4:5" ht="12.75">
      <c r="D976" s="19"/>
      <c r="E976" s="19"/>
    </row>
    <row r="977" spans="4:5" ht="12.75">
      <c r="D977" s="19"/>
      <c r="E977" s="19"/>
    </row>
    <row r="978" spans="4:5" ht="12.75">
      <c r="D978" s="19"/>
      <c r="E978" s="19"/>
    </row>
    <row r="979" spans="4:5" ht="12.75">
      <c r="D979" s="19"/>
      <c r="E979" s="19"/>
    </row>
    <row r="980" spans="4:5" ht="12.75">
      <c r="D980" s="19"/>
      <c r="E980" s="19"/>
    </row>
    <row r="981" spans="4:5" ht="12.75">
      <c r="D981" s="19"/>
      <c r="E981" s="19"/>
    </row>
    <row r="982" spans="4:5" ht="12.75">
      <c r="D982" s="19"/>
      <c r="E982" s="19"/>
    </row>
    <row r="983" spans="4:5" ht="12.75">
      <c r="D983" s="19"/>
      <c r="E983" s="19"/>
    </row>
    <row r="984" spans="4:5" ht="12.75">
      <c r="D984" s="19"/>
      <c r="E984" s="19"/>
    </row>
    <row r="985" spans="4:5" ht="12.75">
      <c r="D985" s="19"/>
      <c r="E985" s="19"/>
    </row>
    <row r="986" spans="4:5" ht="12.75">
      <c r="D986" s="19"/>
      <c r="E986" s="19"/>
    </row>
    <row r="987" spans="4:5" ht="12.75">
      <c r="D987" s="19"/>
      <c r="E987" s="19"/>
    </row>
    <row r="988" spans="4:5" ht="12.75">
      <c r="D988" s="19"/>
      <c r="E988" s="19"/>
    </row>
    <row r="989" spans="4:5" ht="12.75">
      <c r="D989" s="19"/>
      <c r="E989" s="19"/>
    </row>
    <row r="990" spans="4:5" ht="12.75">
      <c r="D990" s="19"/>
      <c r="E990" s="19"/>
    </row>
    <row r="991" spans="4:5" ht="12.75">
      <c r="D991" s="19"/>
      <c r="E991" s="19"/>
    </row>
    <row r="992" spans="4:5" ht="12.75">
      <c r="D992" s="19"/>
      <c r="E992" s="19"/>
    </row>
    <row r="993" spans="4:5" ht="12.75">
      <c r="D993" s="19"/>
      <c r="E993" s="19"/>
    </row>
    <row r="994" spans="4:5" ht="12.75">
      <c r="D994" s="19"/>
      <c r="E994" s="19"/>
    </row>
    <row r="995" spans="4:5" ht="12.75">
      <c r="D995" s="19"/>
      <c r="E995" s="19"/>
    </row>
  </sheetData>
  <mergeCells count="2">
    <mergeCell ref="F1:G1"/>
    <mergeCell ref="H1:I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00FF"/>
    <outlinePr summaryBelow="0" summaryRight="0"/>
  </sheetPr>
  <dimension ref="A1:I66"/>
  <sheetViews>
    <sheetView workbookViewId="0">
      <pane ySplit="2" topLeftCell="A3" activePane="bottomLeft" state="frozen"/>
      <selection pane="bottomLeft" activeCell="B4" sqref="B4"/>
    </sheetView>
  </sheetViews>
  <sheetFormatPr defaultColWidth="14.42578125" defaultRowHeight="15.75" customHeight="1"/>
  <cols>
    <col min="11" max="11" width="19.85546875" customWidth="1"/>
  </cols>
  <sheetData>
    <row r="1" spans="1:9">
      <c r="A1" s="35"/>
      <c r="B1" s="35"/>
      <c r="C1" s="35"/>
      <c r="D1" s="40" t="s">
        <v>140</v>
      </c>
      <c r="E1" s="40" t="s">
        <v>59</v>
      </c>
      <c r="F1" s="40" t="s">
        <v>141</v>
      </c>
      <c r="G1" s="40" t="s">
        <v>142</v>
      </c>
      <c r="H1" s="40" t="s">
        <v>143</v>
      </c>
    </row>
    <row r="2" spans="1:9">
      <c r="H2" s="69">
        <v>10000</v>
      </c>
    </row>
    <row r="3" spans="1:9">
      <c r="A3" s="64">
        <v>44200</v>
      </c>
      <c r="B3" s="40" t="s">
        <v>144</v>
      </c>
      <c r="C3" s="40" t="s">
        <v>22</v>
      </c>
      <c r="D3" s="20">
        <v>193.5</v>
      </c>
      <c r="E3" s="49">
        <f>($H$2*0.6)/D3</f>
        <v>31.007751937984494</v>
      </c>
      <c r="F3" s="49">
        <f t="shared" ref="F3:F4" si="0">-E3*D3</f>
        <v>-6000</v>
      </c>
      <c r="G3" s="46">
        <f t="shared" ref="G3:G6" si="1">F3/$H$2</f>
        <v>-0.6</v>
      </c>
      <c r="H3" s="69">
        <f t="shared" ref="H3:H20" si="2">H2+F3</f>
        <v>4000</v>
      </c>
    </row>
    <row r="4" spans="1:9">
      <c r="A4" s="64">
        <v>44200</v>
      </c>
      <c r="B4" s="40" t="s">
        <v>144</v>
      </c>
      <c r="C4" s="40" t="s">
        <v>170</v>
      </c>
      <c r="D4" s="20">
        <v>108.67</v>
      </c>
      <c r="E4" s="49">
        <f>($H$2*0.4)/D4</f>
        <v>36.80868685009662</v>
      </c>
      <c r="F4" s="49">
        <f t="shared" si="0"/>
        <v>-4000</v>
      </c>
      <c r="G4" s="46">
        <f t="shared" si="1"/>
        <v>-0.4</v>
      </c>
      <c r="H4" s="69">
        <f t="shared" si="2"/>
        <v>0</v>
      </c>
    </row>
    <row r="5" spans="1:9">
      <c r="A5" s="64">
        <v>44228</v>
      </c>
      <c r="B5" s="40" t="s">
        <v>145</v>
      </c>
      <c r="C5" s="40" t="s">
        <v>22</v>
      </c>
      <c r="D5" s="20">
        <v>210.61</v>
      </c>
      <c r="E5" s="49">
        <v>31.007751937984494</v>
      </c>
      <c r="F5" s="49">
        <f t="shared" ref="F5:F6" si="3">+E5*D5</f>
        <v>6530.5426356589151</v>
      </c>
      <c r="G5" s="46">
        <f t="shared" si="1"/>
        <v>0.65305426356589147</v>
      </c>
      <c r="H5" s="69">
        <f t="shared" si="2"/>
        <v>6530.5426356589151</v>
      </c>
    </row>
    <row r="6" spans="1:9">
      <c r="A6" s="64">
        <v>44228</v>
      </c>
      <c r="B6" s="40" t="s">
        <v>145</v>
      </c>
      <c r="C6" s="40" t="s">
        <v>170</v>
      </c>
      <c r="D6" s="20">
        <v>108.45</v>
      </c>
      <c r="E6" s="49">
        <v>36.80868685009662</v>
      </c>
      <c r="F6" s="49">
        <f t="shared" si="3"/>
        <v>3991.9020888929786</v>
      </c>
      <c r="G6" s="46">
        <f t="shared" si="1"/>
        <v>0.39919020888929785</v>
      </c>
      <c r="H6" s="90">
        <f t="shared" si="2"/>
        <v>10522.444724551893</v>
      </c>
      <c r="I6" s="39">
        <f>(H6-H2)/H2</f>
        <v>5.2244472455189317E-2</v>
      </c>
    </row>
    <row r="7" spans="1:9">
      <c r="A7" s="64">
        <v>44228</v>
      </c>
      <c r="B7" s="40" t="s">
        <v>144</v>
      </c>
      <c r="C7" s="40" t="s">
        <v>22</v>
      </c>
      <c r="D7" s="20">
        <v>210.61</v>
      </c>
      <c r="E7" s="49">
        <f>($H$6*0.6)/D7</f>
        <v>29.977051586967072</v>
      </c>
      <c r="F7" s="49">
        <f t="shared" ref="F7:F8" si="4">-E7*D7</f>
        <v>-6313.4668347311354</v>
      </c>
      <c r="G7" s="46">
        <f t="shared" ref="G7:G10" si="5">F7/$H$6</f>
        <v>-0.6</v>
      </c>
      <c r="H7" s="69">
        <f t="shared" si="2"/>
        <v>4208.9778898207578</v>
      </c>
      <c r="I7" s="39"/>
    </row>
    <row r="8" spans="1:9">
      <c r="A8" s="64">
        <v>44228</v>
      </c>
      <c r="B8" s="40" t="s">
        <v>144</v>
      </c>
      <c r="C8" s="40" t="s">
        <v>170</v>
      </c>
      <c r="D8" s="20">
        <v>108.45</v>
      </c>
      <c r="E8" s="49">
        <f>($H$6*0.4)/D8</f>
        <v>38.810307882164665</v>
      </c>
      <c r="F8" s="49">
        <f t="shared" si="4"/>
        <v>-4208.9778898207578</v>
      </c>
      <c r="G8" s="46">
        <f t="shared" si="5"/>
        <v>-0.40000000000000008</v>
      </c>
      <c r="H8" s="69">
        <f t="shared" si="2"/>
        <v>0</v>
      </c>
      <c r="I8" s="39"/>
    </row>
    <row r="9" spans="1:9">
      <c r="A9" s="64">
        <v>44256</v>
      </c>
      <c r="B9" s="40" t="s">
        <v>145</v>
      </c>
      <c r="C9" s="40" t="s">
        <v>22</v>
      </c>
      <c r="D9" s="20">
        <v>226.07</v>
      </c>
      <c r="E9" s="49">
        <v>29.977051586967072</v>
      </c>
      <c r="F9" s="49">
        <f t="shared" ref="F9:F10" si="6">+E9*D9</f>
        <v>6776.9120522656458</v>
      </c>
      <c r="G9" s="46">
        <f t="shared" si="5"/>
        <v>0.64404349271164707</v>
      </c>
      <c r="H9" s="69">
        <f t="shared" si="2"/>
        <v>6776.9120522656458</v>
      </c>
      <c r="I9" s="39"/>
    </row>
    <row r="10" spans="1:9">
      <c r="A10" s="64">
        <v>44256</v>
      </c>
      <c r="B10" s="40" t="s">
        <v>145</v>
      </c>
      <c r="C10" s="40" t="s">
        <v>170</v>
      </c>
      <c r="D10" s="20">
        <v>108.82</v>
      </c>
      <c r="E10" s="49">
        <v>38.810307882164665</v>
      </c>
      <c r="F10" s="49">
        <f t="shared" si="6"/>
        <v>4223.3377037371583</v>
      </c>
      <c r="G10" s="46">
        <f t="shared" si="5"/>
        <v>0.40136468418626098</v>
      </c>
      <c r="H10" s="90">
        <f t="shared" si="2"/>
        <v>11000.249756002804</v>
      </c>
      <c r="I10" s="39">
        <f>(H10-H6)/H6</f>
        <v>4.5408176897907979E-2</v>
      </c>
    </row>
    <row r="11" spans="1:9">
      <c r="A11" s="64">
        <v>44256</v>
      </c>
      <c r="B11" s="40" t="s">
        <v>144</v>
      </c>
      <c r="C11" s="40" t="s">
        <v>22</v>
      </c>
      <c r="D11" s="20">
        <v>226.07</v>
      </c>
      <c r="E11" s="49">
        <f>($H$10*0.6)/D11</f>
        <v>29.195160143325886</v>
      </c>
      <c r="F11" s="49">
        <f t="shared" ref="F11:F12" si="7">-E11*D11</f>
        <v>-6600.1498536016825</v>
      </c>
      <c r="G11" s="46">
        <f t="shared" ref="G11:G14" si="8">F11/$H$10</f>
        <v>-0.6</v>
      </c>
      <c r="H11" s="69">
        <f t="shared" si="2"/>
        <v>4400.0999024011217</v>
      </c>
      <c r="I11" s="39"/>
    </row>
    <row r="12" spans="1:9">
      <c r="A12" s="64">
        <v>44256</v>
      </c>
      <c r="B12" s="40" t="s">
        <v>144</v>
      </c>
      <c r="C12" s="40" t="s">
        <v>170</v>
      </c>
      <c r="D12" s="20">
        <v>108.82</v>
      </c>
      <c r="E12" s="49">
        <f>($H$10*0.4)/D12</f>
        <v>40.434661848935143</v>
      </c>
      <c r="F12" s="49">
        <f t="shared" si="7"/>
        <v>-4400.0999024011217</v>
      </c>
      <c r="G12" s="46">
        <f t="shared" si="8"/>
        <v>-0.4</v>
      </c>
      <c r="H12" s="69">
        <f t="shared" si="2"/>
        <v>0</v>
      </c>
      <c r="I12" s="39"/>
    </row>
    <row r="13" spans="1:9">
      <c r="A13" s="64">
        <v>44287</v>
      </c>
      <c r="B13" s="40" t="s">
        <v>145</v>
      </c>
      <c r="C13" s="40" t="s">
        <v>22</v>
      </c>
      <c r="D13" s="20">
        <v>223.74</v>
      </c>
      <c r="E13" s="49">
        <v>29.195160143325886</v>
      </c>
      <c r="F13" s="49">
        <f t="shared" ref="F13:F14" si="9">+E13*D13</f>
        <v>6532.1251304677344</v>
      </c>
      <c r="G13" s="46">
        <f t="shared" si="8"/>
        <v>0.59381607466713859</v>
      </c>
      <c r="H13" s="69">
        <f t="shared" si="2"/>
        <v>6532.1251304677344</v>
      </c>
      <c r="I13" s="39"/>
    </row>
    <row r="14" spans="1:9">
      <c r="A14" s="64">
        <v>44287</v>
      </c>
      <c r="B14" s="40" t="s">
        <v>145</v>
      </c>
      <c r="C14" s="40" t="s">
        <v>170</v>
      </c>
      <c r="D14" s="20">
        <v>108.64</v>
      </c>
      <c r="E14" s="49">
        <v>40.434661848935143</v>
      </c>
      <c r="F14" s="49">
        <f t="shared" si="9"/>
        <v>4392.8216632683143</v>
      </c>
      <c r="G14" s="46">
        <f t="shared" si="8"/>
        <v>0.39933835691968395</v>
      </c>
      <c r="H14" s="90">
        <f t="shared" si="2"/>
        <v>10924.94679373605</v>
      </c>
      <c r="I14" s="39">
        <f>(H14-H10)/H10</f>
        <v>-6.8455684131773411E-3</v>
      </c>
    </row>
    <row r="15" spans="1:9">
      <c r="A15" s="64">
        <v>44287</v>
      </c>
      <c r="B15" s="40" t="s">
        <v>144</v>
      </c>
      <c r="C15" s="40" t="s">
        <v>20</v>
      </c>
      <c r="D15" s="20">
        <v>482.3</v>
      </c>
      <c r="E15" s="49">
        <f>($H$14*0.6)/D15</f>
        <v>13.591059664610469</v>
      </c>
      <c r="F15" s="49">
        <f t="shared" ref="F15:F16" si="10">-E15*D15</f>
        <v>-6554.9680762416292</v>
      </c>
      <c r="G15" s="46">
        <f t="shared" ref="G15:G16" si="11">F15/$H$14</f>
        <v>-0.6</v>
      </c>
      <c r="H15" s="69">
        <f t="shared" si="2"/>
        <v>4369.9787174944204</v>
      </c>
      <c r="I15" s="39"/>
    </row>
    <row r="16" spans="1:9">
      <c r="A16" s="64">
        <v>44287</v>
      </c>
      <c r="B16" s="40" t="s">
        <v>144</v>
      </c>
      <c r="C16" s="40" t="s">
        <v>170</v>
      </c>
      <c r="D16" s="20">
        <v>108.64</v>
      </c>
      <c r="E16" s="49">
        <f>($H$14*0.4)/D16</f>
        <v>40.224399093284426</v>
      </c>
      <c r="F16" s="49">
        <f t="shared" si="10"/>
        <v>-4369.9787174944204</v>
      </c>
      <c r="G16" s="46">
        <f t="shared" si="11"/>
        <v>-0.4</v>
      </c>
      <c r="H16" s="69">
        <f t="shared" si="2"/>
        <v>0</v>
      </c>
      <c r="I16" s="39"/>
    </row>
    <row r="17" spans="1:9">
      <c r="A17" s="64">
        <v>44319</v>
      </c>
      <c r="B17" s="40" t="s">
        <v>145</v>
      </c>
      <c r="C17" s="40" t="s">
        <v>20</v>
      </c>
      <c r="D17" s="20">
        <v>499.54</v>
      </c>
      <c r="E17" s="49">
        <v>13.591059664610469</v>
      </c>
      <c r="F17" s="49">
        <f t="shared" ref="F17:F18" si="12">+E17*D17</f>
        <v>6789.2779448595138</v>
      </c>
      <c r="G17" s="46">
        <f t="shared" ref="G17:G18" si="13">F17/$H$10</f>
        <v>0.61719307247134314</v>
      </c>
      <c r="H17" s="69">
        <f t="shared" si="2"/>
        <v>6789.2779448595138</v>
      </c>
      <c r="I17" s="39"/>
    </row>
    <row r="18" spans="1:9">
      <c r="A18" s="64">
        <v>44320</v>
      </c>
      <c r="B18" s="40" t="s">
        <v>145</v>
      </c>
      <c r="C18" s="40" t="s">
        <v>170</v>
      </c>
      <c r="D18" s="20">
        <v>108.81</v>
      </c>
      <c r="E18" s="49">
        <v>40.224399093284426</v>
      </c>
      <c r="F18" s="49">
        <f t="shared" si="12"/>
        <v>4376.8168653402781</v>
      </c>
      <c r="G18" s="46">
        <f t="shared" si="13"/>
        <v>0.39788340832460301</v>
      </c>
      <c r="H18" s="69">
        <f t="shared" si="2"/>
        <v>11166.094810199793</v>
      </c>
      <c r="I18" s="39">
        <f>(H18-H14)/H14</f>
        <v>2.2073152484551082E-2</v>
      </c>
    </row>
    <row r="19" spans="1:9">
      <c r="A19" s="64">
        <v>44321</v>
      </c>
      <c r="B19" s="40" t="s">
        <v>144</v>
      </c>
      <c r="C19" s="40" t="s">
        <v>20</v>
      </c>
      <c r="D19" s="20">
        <v>499.54</v>
      </c>
      <c r="E19" s="49">
        <f>($H$18*0.6)/D19</f>
        <v>13.41165249253288</v>
      </c>
      <c r="F19" s="49">
        <f t="shared" ref="F19:F20" si="14">-E19*D19</f>
        <v>-6699.6568861198757</v>
      </c>
      <c r="G19" s="46">
        <f t="shared" ref="G19:G20" si="15">F19/$H$14</f>
        <v>-0.61324389149073066</v>
      </c>
      <c r="H19" s="69">
        <f t="shared" si="2"/>
        <v>4466.4379240799171</v>
      </c>
      <c r="I19" s="39"/>
    </row>
    <row r="20" spans="1:9">
      <c r="A20" s="64">
        <v>44322</v>
      </c>
      <c r="B20" s="40" t="s">
        <v>144</v>
      </c>
      <c r="C20" s="40" t="s">
        <v>170</v>
      </c>
      <c r="D20" s="20">
        <v>108.81</v>
      </c>
      <c r="E20" s="49">
        <f>($H$18*0.4)/D20</f>
        <v>41.048046356767919</v>
      </c>
      <c r="F20" s="49">
        <f t="shared" si="14"/>
        <v>-4466.4379240799171</v>
      </c>
      <c r="G20" s="46">
        <f t="shared" si="15"/>
        <v>-0.40882926099382044</v>
      </c>
      <c r="H20" s="69">
        <f t="shared" si="2"/>
        <v>0</v>
      </c>
      <c r="I20" s="39"/>
    </row>
    <row r="21" spans="1:9">
      <c r="A21" s="64"/>
      <c r="B21" s="89"/>
      <c r="C21" s="40"/>
      <c r="D21" s="20"/>
      <c r="E21" s="49"/>
      <c r="F21" s="49"/>
      <c r="G21" s="46"/>
      <c r="H21" s="69"/>
      <c r="I21" s="46"/>
    </row>
    <row r="22" spans="1:9">
      <c r="A22" s="64"/>
      <c r="B22" s="89"/>
      <c r="C22" s="40"/>
      <c r="D22" s="20"/>
      <c r="E22" s="49"/>
      <c r="F22" s="49"/>
      <c r="G22" s="46"/>
      <c r="H22" s="69"/>
      <c r="I22" s="46"/>
    </row>
    <row r="23" spans="1:9">
      <c r="A23" s="64"/>
      <c r="B23" s="89"/>
      <c r="C23" s="40"/>
      <c r="D23" s="20"/>
      <c r="E23" s="49"/>
      <c r="F23" s="49"/>
      <c r="G23" s="46"/>
      <c r="H23" s="69"/>
      <c r="I23" s="46"/>
    </row>
    <row r="24" spans="1:9">
      <c r="A24" s="64"/>
      <c r="B24" s="89"/>
      <c r="C24" s="40"/>
      <c r="D24" s="20"/>
      <c r="E24" s="49"/>
      <c r="F24" s="49"/>
      <c r="G24" s="46"/>
      <c r="H24" s="90"/>
      <c r="I24" s="39"/>
    </row>
    <row r="25" spans="1:9">
      <c r="A25" s="64"/>
      <c r="B25" s="40"/>
      <c r="C25" s="40"/>
      <c r="D25" s="20"/>
      <c r="E25" s="49"/>
      <c r="F25" s="49"/>
      <c r="G25" s="46"/>
      <c r="H25" s="69"/>
      <c r="I25" s="46"/>
    </row>
    <row r="26" spans="1:9">
      <c r="A26" s="64"/>
      <c r="B26" s="40"/>
      <c r="C26" s="40"/>
      <c r="D26" s="20"/>
      <c r="E26" s="49"/>
      <c r="F26" s="49"/>
      <c r="G26" s="46"/>
      <c r="H26" s="69"/>
      <c r="I26" s="46"/>
    </row>
    <row r="27" spans="1:9">
      <c r="A27" s="64"/>
      <c r="B27" s="40"/>
      <c r="C27" s="40"/>
      <c r="D27" s="20"/>
      <c r="E27" s="49"/>
      <c r="F27" s="49"/>
      <c r="G27" s="46"/>
      <c r="H27" s="69"/>
      <c r="I27" s="46"/>
    </row>
    <row r="28" spans="1:9">
      <c r="A28" s="64"/>
      <c r="B28" s="40"/>
      <c r="C28" s="40"/>
      <c r="D28" s="20"/>
      <c r="E28" s="49"/>
      <c r="F28" s="49"/>
      <c r="G28" s="46"/>
      <c r="H28" s="69"/>
      <c r="I28" s="46"/>
    </row>
    <row r="29" spans="1:9">
      <c r="A29" s="64"/>
      <c r="B29" s="89"/>
      <c r="C29" s="40"/>
      <c r="D29" s="20"/>
      <c r="E29" s="49"/>
      <c r="F29" s="49"/>
      <c r="G29" s="46"/>
      <c r="H29" s="69"/>
      <c r="I29" s="46"/>
    </row>
    <row r="30" spans="1:9">
      <c r="A30" s="64"/>
      <c r="B30" s="89"/>
      <c r="C30" s="40"/>
      <c r="D30" s="20"/>
      <c r="E30" s="49"/>
      <c r="F30" s="49"/>
      <c r="G30" s="46"/>
      <c r="H30" s="69"/>
      <c r="I30" s="46"/>
    </row>
    <row r="31" spans="1:9">
      <c r="A31" s="64"/>
      <c r="B31" s="89"/>
      <c r="C31" s="40"/>
      <c r="D31" s="20"/>
      <c r="E31" s="49"/>
      <c r="F31" s="49"/>
      <c r="G31" s="46"/>
      <c r="H31" s="69"/>
      <c r="I31" s="46"/>
    </row>
    <row r="32" spans="1:9">
      <c r="A32" s="64"/>
      <c r="B32" s="89"/>
      <c r="C32" s="40"/>
      <c r="D32" s="20"/>
      <c r="E32" s="49"/>
      <c r="F32" s="49"/>
      <c r="G32" s="46"/>
      <c r="H32" s="69"/>
      <c r="I32" s="39"/>
    </row>
    <row r="33" spans="1:9">
      <c r="A33" s="64"/>
      <c r="B33" s="40"/>
      <c r="C33" s="40"/>
      <c r="D33" s="20"/>
      <c r="E33" s="49"/>
      <c r="F33" s="49"/>
      <c r="G33" s="46"/>
      <c r="H33" s="69"/>
      <c r="I33" s="46"/>
    </row>
    <row r="34" spans="1:9">
      <c r="A34" s="64"/>
      <c r="B34" s="40"/>
      <c r="C34" s="40"/>
      <c r="D34" s="20"/>
      <c r="E34" s="49"/>
      <c r="F34" s="49"/>
      <c r="G34" s="46"/>
      <c r="H34" s="69"/>
      <c r="I34" s="46"/>
    </row>
    <row r="35" spans="1:9">
      <c r="A35" s="64"/>
      <c r="B35" s="40"/>
      <c r="C35" s="40"/>
      <c r="D35" s="20"/>
      <c r="E35" s="49"/>
      <c r="F35" s="49"/>
      <c r="G35" s="46"/>
      <c r="H35" s="69"/>
    </row>
    <row r="36" spans="1:9">
      <c r="A36" s="64"/>
      <c r="B36" s="40"/>
      <c r="C36" s="40"/>
      <c r="D36" s="20"/>
      <c r="E36" s="49"/>
      <c r="F36" s="49"/>
      <c r="G36" s="46"/>
      <c r="H36" s="69"/>
    </row>
    <row r="37" spans="1:9">
      <c r="A37" s="64"/>
      <c r="B37" s="40"/>
      <c r="C37" s="35"/>
      <c r="D37" s="40"/>
      <c r="E37" s="48"/>
      <c r="F37" s="49"/>
      <c r="G37" s="46"/>
      <c r="H37" s="69"/>
    </row>
    <row r="38" spans="1:9">
      <c r="A38" s="64"/>
      <c r="B38" s="40"/>
      <c r="C38" s="35"/>
      <c r="D38" s="40"/>
      <c r="E38" s="48"/>
      <c r="F38" s="49"/>
      <c r="G38" s="46"/>
      <c r="H38" s="69"/>
    </row>
    <row r="39" spans="1:9">
      <c r="A39" s="64"/>
      <c r="B39" s="40"/>
      <c r="C39" s="35"/>
      <c r="D39" s="40"/>
      <c r="E39" s="48"/>
      <c r="F39" s="49"/>
      <c r="G39" s="46"/>
      <c r="H39" s="69"/>
    </row>
    <row r="40" spans="1:9">
      <c r="A40" s="64"/>
      <c r="B40" s="40"/>
      <c r="C40" s="35"/>
      <c r="D40" s="40"/>
      <c r="E40" s="48"/>
      <c r="F40" s="49"/>
      <c r="G40" s="46"/>
      <c r="H40" s="69"/>
    </row>
    <row r="41" spans="1:9">
      <c r="A41" s="64"/>
      <c r="B41" s="40"/>
      <c r="C41" s="35"/>
      <c r="D41" s="40"/>
      <c r="E41" s="48"/>
      <c r="F41" s="49"/>
      <c r="G41" s="46"/>
      <c r="H41" s="69"/>
    </row>
    <row r="42" spans="1:9">
      <c r="A42" s="64"/>
      <c r="B42" s="40"/>
      <c r="C42" s="35"/>
      <c r="D42" s="40"/>
      <c r="E42" s="48"/>
      <c r="F42" s="49"/>
      <c r="G42" s="46"/>
      <c r="H42" s="69"/>
    </row>
    <row r="43" spans="1:9">
      <c r="A43" s="64"/>
      <c r="B43" s="40"/>
      <c r="C43" s="35"/>
      <c r="D43" s="40"/>
      <c r="E43" s="48"/>
      <c r="F43" s="49"/>
      <c r="G43" s="46"/>
      <c r="H43" s="69"/>
    </row>
    <row r="44" spans="1:9">
      <c r="A44" s="64"/>
      <c r="B44" s="40"/>
      <c r="C44" s="35"/>
      <c r="D44" s="40"/>
      <c r="E44" s="48"/>
      <c r="F44" s="49"/>
      <c r="G44" s="46"/>
      <c r="H44" s="69"/>
    </row>
    <row r="45" spans="1:9">
      <c r="A45" s="64"/>
      <c r="B45" s="40"/>
      <c r="C45" s="35"/>
      <c r="D45" s="40"/>
      <c r="E45" s="48"/>
      <c r="F45" s="49"/>
      <c r="G45" s="46"/>
      <c r="H45" s="69"/>
    </row>
    <row r="46" spans="1:9">
      <c r="A46" s="64"/>
      <c r="B46" s="40"/>
      <c r="C46" s="35"/>
      <c r="D46" s="40"/>
      <c r="E46" s="48"/>
      <c r="F46" s="49"/>
      <c r="G46" s="46"/>
      <c r="H46" s="90"/>
    </row>
    <row r="47" spans="1:9">
      <c r="A47" s="64"/>
      <c r="B47" s="40"/>
      <c r="C47" s="44"/>
      <c r="D47" s="20"/>
      <c r="E47" s="49"/>
      <c r="F47" s="49"/>
      <c r="G47" s="46"/>
      <c r="H47" s="69"/>
    </row>
    <row r="48" spans="1:9">
      <c r="A48" s="64"/>
      <c r="B48" s="40"/>
      <c r="C48" s="44"/>
      <c r="D48" s="20"/>
      <c r="E48" s="49"/>
      <c r="F48" s="49"/>
      <c r="G48" s="46"/>
      <c r="H48" s="69"/>
    </row>
    <row r="49" spans="1:8">
      <c r="A49" s="64"/>
      <c r="B49" s="40"/>
      <c r="C49" s="44"/>
      <c r="D49" s="20"/>
      <c r="E49" s="49"/>
      <c r="F49" s="49"/>
      <c r="G49" s="46"/>
      <c r="H49" s="69"/>
    </row>
    <row r="50" spans="1:8">
      <c r="A50" s="64"/>
      <c r="B50" s="40"/>
      <c r="C50" s="44"/>
      <c r="D50" s="20"/>
      <c r="E50" s="49"/>
      <c r="F50" s="49"/>
      <c r="G50" s="46"/>
      <c r="H50" s="69"/>
    </row>
    <row r="51" spans="1:8">
      <c r="A51" s="64"/>
      <c r="B51" s="40"/>
      <c r="C51" s="44"/>
      <c r="D51" s="20"/>
      <c r="E51" s="49"/>
      <c r="F51" s="49"/>
      <c r="G51" s="46"/>
      <c r="H51" s="69"/>
    </row>
    <row r="52" spans="1:8">
      <c r="A52" s="64"/>
      <c r="B52" s="40"/>
      <c r="C52" s="44"/>
      <c r="D52" s="20"/>
      <c r="E52" s="49"/>
      <c r="F52" s="49"/>
      <c r="G52" s="46"/>
      <c r="H52" s="69"/>
    </row>
    <row r="53" spans="1:8">
      <c r="A53" s="64"/>
      <c r="B53" s="40"/>
      <c r="C53" s="44"/>
      <c r="D53" s="20"/>
      <c r="E53" s="49"/>
      <c r="F53" s="49"/>
      <c r="G53" s="46"/>
      <c r="H53" s="69"/>
    </row>
    <row r="54" spans="1:8">
      <c r="A54" s="64"/>
      <c r="B54" s="40"/>
      <c r="C54" s="44"/>
      <c r="D54" s="20"/>
      <c r="E54" s="49"/>
      <c r="F54" s="49"/>
      <c r="G54" s="46"/>
      <c r="H54" s="69"/>
    </row>
    <row r="55" spans="1:8">
      <c r="A55" s="64"/>
      <c r="B55" s="40"/>
      <c r="C55" s="44"/>
      <c r="D55" s="20"/>
      <c r="E55" s="49"/>
      <c r="F55" s="49"/>
      <c r="G55" s="46"/>
      <c r="H55" s="69"/>
    </row>
    <row r="56" spans="1:8">
      <c r="A56" s="64"/>
      <c r="B56" s="40"/>
      <c r="C56" s="44"/>
      <c r="D56" s="20"/>
      <c r="E56" s="49"/>
      <c r="F56" s="49"/>
      <c r="G56" s="46"/>
      <c r="H56" s="69"/>
    </row>
    <row r="57" spans="1:8">
      <c r="A57" s="64"/>
      <c r="B57" s="40"/>
      <c r="C57" s="44"/>
      <c r="D57" s="20"/>
      <c r="E57" s="49"/>
      <c r="F57" s="49"/>
      <c r="G57" s="46"/>
      <c r="H57" s="69"/>
    </row>
    <row r="58" spans="1:8">
      <c r="A58" s="64"/>
      <c r="B58" s="40"/>
      <c r="C58" s="44"/>
      <c r="D58" s="20"/>
      <c r="E58" s="49"/>
      <c r="F58" s="49"/>
      <c r="G58" s="46"/>
      <c r="H58" s="69"/>
    </row>
    <row r="59" spans="1:8">
      <c r="A59" s="64"/>
      <c r="B59" s="40"/>
      <c r="C59" s="44"/>
      <c r="D59" s="20"/>
      <c r="E59" s="49"/>
      <c r="F59" s="49"/>
      <c r="G59" s="46"/>
      <c r="H59" s="69"/>
    </row>
    <row r="60" spans="1:8">
      <c r="A60" s="64"/>
      <c r="B60" s="40"/>
      <c r="C60" s="44"/>
      <c r="D60" s="20"/>
      <c r="E60" s="49"/>
      <c r="F60" s="49"/>
      <c r="G60" s="46"/>
      <c r="H60" s="69"/>
    </row>
    <row r="61" spans="1:8">
      <c r="A61" s="64"/>
      <c r="B61" s="40"/>
      <c r="C61" s="44"/>
      <c r="D61" s="20"/>
      <c r="E61" s="49"/>
      <c r="F61" s="49"/>
      <c r="G61" s="46"/>
      <c r="H61" s="69"/>
    </row>
    <row r="62" spans="1:8">
      <c r="A62" s="64"/>
      <c r="B62" s="40"/>
      <c r="C62" s="44"/>
      <c r="D62" s="20"/>
      <c r="E62" s="49"/>
      <c r="F62" s="49"/>
      <c r="G62" s="46"/>
      <c r="H62" s="69"/>
    </row>
    <row r="63" spans="1:8">
      <c r="A63" s="64"/>
      <c r="B63" s="40"/>
      <c r="C63" s="44"/>
      <c r="D63" s="20"/>
      <c r="E63" s="49"/>
      <c r="F63" s="49"/>
      <c r="G63" s="46"/>
      <c r="H63" s="69"/>
    </row>
    <row r="64" spans="1:8">
      <c r="A64" s="64"/>
      <c r="B64" s="40"/>
      <c r="C64" s="44"/>
      <c r="D64" s="20"/>
      <c r="E64" s="49"/>
      <c r="F64" s="49"/>
      <c r="G64" s="46"/>
      <c r="H64" s="69"/>
    </row>
    <row r="65" spans="1:8">
      <c r="A65" s="64"/>
      <c r="B65" s="40"/>
      <c r="C65" s="44"/>
      <c r="D65" s="20"/>
      <c r="E65" s="49"/>
      <c r="F65" s="49"/>
      <c r="G65" s="46"/>
      <c r="H65" s="69"/>
    </row>
    <row r="66" spans="1:8">
      <c r="A66" s="64"/>
      <c r="B66" s="40"/>
      <c r="C66" s="44"/>
      <c r="D66" s="20"/>
      <c r="E66" s="49"/>
      <c r="F66" s="49"/>
      <c r="G66" s="46"/>
      <c r="H66" s="69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00FF"/>
    <outlinePr summaryBelow="0" summaryRight="0"/>
  </sheetPr>
  <dimension ref="A1:H60"/>
  <sheetViews>
    <sheetView workbookViewId="0">
      <pane ySplit="2" topLeftCell="A3" activePane="bottomLeft" state="frozen"/>
      <selection pane="bottomLeft" activeCell="B4" sqref="B4"/>
    </sheetView>
  </sheetViews>
  <sheetFormatPr defaultColWidth="14.42578125" defaultRowHeight="15.75" customHeight="1"/>
  <cols>
    <col min="11" max="11" width="19.85546875" customWidth="1"/>
  </cols>
  <sheetData>
    <row r="1" spans="1:8">
      <c r="A1" s="35"/>
      <c r="B1" s="35"/>
      <c r="C1" s="35"/>
      <c r="D1" s="40" t="s">
        <v>140</v>
      </c>
      <c r="E1" s="40" t="s">
        <v>59</v>
      </c>
      <c r="F1" s="40" t="s">
        <v>141</v>
      </c>
      <c r="G1" s="40" t="s">
        <v>142</v>
      </c>
      <c r="H1" s="40" t="s">
        <v>143</v>
      </c>
    </row>
    <row r="2" spans="1:8">
      <c r="H2" s="69">
        <v>10000</v>
      </c>
    </row>
    <row r="3" spans="1:8">
      <c r="A3" s="64">
        <v>44200</v>
      </c>
      <c r="B3" s="40" t="s">
        <v>144</v>
      </c>
      <c r="C3" s="40" t="s">
        <v>171</v>
      </c>
      <c r="D3" s="40">
        <v>59.3</v>
      </c>
      <c r="E3" s="48">
        <v>8.4317032040472171</v>
      </c>
      <c r="F3" s="49">
        <f t="shared" ref="F3:F21" si="0">-D3*E3</f>
        <v>-499.99999999999994</v>
      </c>
      <c r="G3" s="46">
        <f t="shared" ref="G3:G60" si="1">F3/$H$2</f>
        <v>-4.9999999999999996E-2</v>
      </c>
      <c r="H3" s="69">
        <f t="shared" ref="H3:H60" si="2">H2+F3</f>
        <v>9500</v>
      </c>
    </row>
    <row r="4" spans="1:8">
      <c r="A4" s="64">
        <v>44200</v>
      </c>
      <c r="B4" s="40" t="s">
        <v>144</v>
      </c>
      <c r="C4" s="40" t="s">
        <v>172</v>
      </c>
      <c r="D4" s="40">
        <v>28.6</v>
      </c>
      <c r="E4" s="48">
        <v>17.482517482517483</v>
      </c>
      <c r="F4" s="49">
        <f t="shared" si="0"/>
        <v>-500.00000000000006</v>
      </c>
      <c r="G4" s="46">
        <f t="shared" si="1"/>
        <v>-0.05</v>
      </c>
      <c r="H4" s="69">
        <f t="shared" si="2"/>
        <v>9000</v>
      </c>
    </row>
    <row r="5" spans="1:8">
      <c r="A5" s="64">
        <v>44200</v>
      </c>
      <c r="B5" s="40" t="s">
        <v>144</v>
      </c>
      <c r="C5" s="40" t="s">
        <v>173</v>
      </c>
      <c r="D5" s="40">
        <v>16.38</v>
      </c>
      <c r="E5" s="48">
        <v>30.525030525030527</v>
      </c>
      <c r="F5" s="49">
        <f t="shared" si="0"/>
        <v>-500</v>
      </c>
      <c r="G5" s="46">
        <f t="shared" si="1"/>
        <v>-0.05</v>
      </c>
      <c r="H5" s="69">
        <f t="shared" si="2"/>
        <v>8500</v>
      </c>
    </row>
    <row r="6" spans="1:8">
      <c r="A6" s="64">
        <v>44200</v>
      </c>
      <c r="B6" s="40" t="s">
        <v>144</v>
      </c>
      <c r="C6" s="40" t="s">
        <v>174</v>
      </c>
      <c r="D6" s="40">
        <v>21.34</v>
      </c>
      <c r="E6" s="48">
        <v>23.430178069353328</v>
      </c>
      <c r="F6" s="49">
        <f t="shared" si="0"/>
        <v>-500</v>
      </c>
      <c r="G6" s="46">
        <f t="shared" si="1"/>
        <v>-0.05</v>
      </c>
      <c r="H6" s="69">
        <f t="shared" si="2"/>
        <v>8000</v>
      </c>
    </row>
    <row r="7" spans="1:8">
      <c r="A7" s="64">
        <v>44200</v>
      </c>
      <c r="B7" s="40" t="s">
        <v>144</v>
      </c>
      <c r="C7" s="40" t="s">
        <v>175</v>
      </c>
      <c r="D7" s="40">
        <v>18.61</v>
      </c>
      <c r="E7" s="48">
        <v>26.867275658248253</v>
      </c>
      <c r="F7" s="49">
        <f t="shared" si="0"/>
        <v>-500</v>
      </c>
      <c r="G7" s="46">
        <f t="shared" si="1"/>
        <v>-0.05</v>
      </c>
      <c r="H7" s="69">
        <f t="shared" si="2"/>
        <v>7500</v>
      </c>
    </row>
    <row r="8" spans="1:8">
      <c r="A8" s="64">
        <v>44200</v>
      </c>
      <c r="B8" s="40" t="s">
        <v>144</v>
      </c>
      <c r="C8" s="40" t="s">
        <v>176</v>
      </c>
      <c r="D8" s="40">
        <v>11.75</v>
      </c>
      <c r="E8" s="48">
        <v>42.553191489361701</v>
      </c>
      <c r="F8" s="49">
        <f t="shared" si="0"/>
        <v>-500</v>
      </c>
      <c r="G8" s="46">
        <f t="shared" si="1"/>
        <v>-0.05</v>
      </c>
      <c r="H8" s="69">
        <f t="shared" si="2"/>
        <v>7000</v>
      </c>
    </row>
    <row r="9" spans="1:8">
      <c r="A9" s="64">
        <v>44200</v>
      </c>
      <c r="B9" s="40" t="s">
        <v>144</v>
      </c>
      <c r="C9" s="40" t="s">
        <v>177</v>
      </c>
      <c r="D9" s="40">
        <v>8.01</v>
      </c>
      <c r="E9" s="48">
        <v>62.421972534332085</v>
      </c>
      <c r="F9" s="49">
        <f t="shared" si="0"/>
        <v>-500</v>
      </c>
      <c r="G9" s="46">
        <f t="shared" si="1"/>
        <v>-0.05</v>
      </c>
      <c r="H9" s="69">
        <f t="shared" si="2"/>
        <v>6500</v>
      </c>
    </row>
    <row r="10" spans="1:8">
      <c r="A10" s="64">
        <v>44200</v>
      </c>
      <c r="B10" s="40" t="s">
        <v>144</v>
      </c>
      <c r="C10" s="40" t="s">
        <v>178</v>
      </c>
      <c r="D10" s="40">
        <v>3.32</v>
      </c>
      <c r="E10" s="48">
        <v>150.60240963855424</v>
      </c>
      <c r="F10" s="49">
        <f t="shared" si="0"/>
        <v>-500.00000000000006</v>
      </c>
      <c r="G10" s="46">
        <f t="shared" si="1"/>
        <v>-0.05</v>
      </c>
      <c r="H10" s="69">
        <f t="shared" si="2"/>
        <v>6000</v>
      </c>
    </row>
    <row r="11" spans="1:8">
      <c r="A11" s="64">
        <v>44200</v>
      </c>
      <c r="B11" s="40" t="s">
        <v>144</v>
      </c>
      <c r="C11" s="40" t="s">
        <v>179</v>
      </c>
      <c r="D11" s="40">
        <v>24.65</v>
      </c>
      <c r="E11" s="48">
        <v>20.28397565922921</v>
      </c>
      <c r="F11" s="49">
        <f t="shared" si="0"/>
        <v>-500</v>
      </c>
      <c r="G11" s="46">
        <f t="shared" si="1"/>
        <v>-0.05</v>
      </c>
      <c r="H11" s="69">
        <f t="shared" si="2"/>
        <v>5500</v>
      </c>
    </row>
    <row r="12" spans="1:8">
      <c r="A12" s="64">
        <v>44200</v>
      </c>
      <c r="B12" s="40" t="s">
        <v>144</v>
      </c>
      <c r="C12" s="40" t="s">
        <v>180</v>
      </c>
      <c r="D12" s="40">
        <v>34.74</v>
      </c>
      <c r="E12" s="48">
        <v>14.392630972941854</v>
      </c>
      <c r="F12" s="49">
        <f t="shared" si="0"/>
        <v>-500.00000000000006</v>
      </c>
      <c r="G12" s="46">
        <f t="shared" si="1"/>
        <v>-0.05</v>
      </c>
      <c r="H12" s="69">
        <f t="shared" si="2"/>
        <v>5000</v>
      </c>
    </row>
    <row r="13" spans="1:8">
      <c r="A13" s="64">
        <v>44200</v>
      </c>
      <c r="B13" s="40" t="s">
        <v>144</v>
      </c>
      <c r="C13" s="40" t="s">
        <v>181</v>
      </c>
      <c r="D13" s="40">
        <v>21.42</v>
      </c>
      <c r="E13" s="48">
        <v>23.34267040149393</v>
      </c>
      <c r="F13" s="49">
        <f t="shared" si="0"/>
        <v>-500</v>
      </c>
      <c r="G13" s="46">
        <f t="shared" si="1"/>
        <v>-0.05</v>
      </c>
      <c r="H13" s="69">
        <f t="shared" si="2"/>
        <v>4500</v>
      </c>
    </row>
    <row r="14" spans="1:8">
      <c r="A14" s="64">
        <v>44200</v>
      </c>
      <c r="B14" s="40" t="s">
        <v>144</v>
      </c>
      <c r="C14" s="40" t="s">
        <v>182</v>
      </c>
      <c r="D14" s="40">
        <v>24.19</v>
      </c>
      <c r="E14" s="48">
        <v>20.669698222405952</v>
      </c>
      <c r="F14" s="49">
        <f t="shared" si="0"/>
        <v>-500</v>
      </c>
      <c r="G14" s="46">
        <f t="shared" si="1"/>
        <v>-0.05</v>
      </c>
      <c r="H14" s="69">
        <f t="shared" si="2"/>
        <v>4000</v>
      </c>
    </row>
    <row r="15" spans="1:8">
      <c r="A15" s="64">
        <v>44200</v>
      </c>
      <c r="B15" s="40" t="s">
        <v>144</v>
      </c>
      <c r="C15" s="40" t="s">
        <v>183</v>
      </c>
      <c r="D15" s="40">
        <v>14.36</v>
      </c>
      <c r="E15" s="48">
        <v>34.818941504178277</v>
      </c>
      <c r="F15" s="49">
        <f t="shared" si="0"/>
        <v>-500.00000000000006</v>
      </c>
      <c r="G15" s="46">
        <f t="shared" si="1"/>
        <v>-0.05</v>
      </c>
      <c r="H15" s="69">
        <f t="shared" si="2"/>
        <v>3500</v>
      </c>
    </row>
    <row r="16" spans="1:8">
      <c r="A16" s="64">
        <v>44200</v>
      </c>
      <c r="B16" s="40" t="s">
        <v>144</v>
      </c>
      <c r="C16" s="40" t="s">
        <v>184</v>
      </c>
      <c r="D16" s="40">
        <v>6.91</v>
      </c>
      <c r="E16" s="48">
        <v>72.358900144717794</v>
      </c>
      <c r="F16" s="49">
        <f t="shared" si="0"/>
        <v>-499.99999999999994</v>
      </c>
      <c r="G16" s="46">
        <f t="shared" si="1"/>
        <v>-4.9999999999999996E-2</v>
      </c>
      <c r="H16" s="69">
        <f t="shared" si="2"/>
        <v>3000</v>
      </c>
    </row>
    <row r="17" spans="1:8">
      <c r="A17" s="64">
        <v>44200</v>
      </c>
      <c r="B17" s="40" t="s">
        <v>144</v>
      </c>
      <c r="C17" s="40" t="s">
        <v>185</v>
      </c>
      <c r="D17" s="40">
        <v>23.06</v>
      </c>
      <c r="E17" s="48">
        <v>21.682567215958372</v>
      </c>
      <c r="F17" s="49">
        <f t="shared" si="0"/>
        <v>-500</v>
      </c>
      <c r="G17" s="46">
        <f t="shared" si="1"/>
        <v>-0.05</v>
      </c>
      <c r="H17" s="69">
        <f t="shared" si="2"/>
        <v>2500</v>
      </c>
    </row>
    <row r="18" spans="1:8">
      <c r="A18" s="64">
        <v>44200</v>
      </c>
      <c r="B18" s="40" t="s">
        <v>144</v>
      </c>
      <c r="C18" s="40" t="s">
        <v>186</v>
      </c>
      <c r="D18" s="40">
        <v>21.86</v>
      </c>
      <c r="E18" s="48">
        <v>22.872827081427264</v>
      </c>
      <c r="F18" s="49">
        <f t="shared" si="0"/>
        <v>-500</v>
      </c>
      <c r="G18" s="46">
        <f t="shared" si="1"/>
        <v>-0.05</v>
      </c>
      <c r="H18" s="69">
        <f t="shared" si="2"/>
        <v>2000</v>
      </c>
    </row>
    <row r="19" spans="1:8">
      <c r="A19" s="64">
        <v>44200</v>
      </c>
      <c r="B19" s="40" t="s">
        <v>144</v>
      </c>
      <c r="C19" s="40" t="s">
        <v>187</v>
      </c>
      <c r="D19" s="40">
        <v>12.81</v>
      </c>
      <c r="E19" s="48">
        <v>39.032006245120996</v>
      </c>
      <c r="F19" s="49">
        <f t="shared" si="0"/>
        <v>-500</v>
      </c>
      <c r="G19" s="46">
        <f t="shared" si="1"/>
        <v>-0.05</v>
      </c>
      <c r="H19" s="69">
        <f t="shared" si="2"/>
        <v>1500</v>
      </c>
    </row>
    <row r="20" spans="1:8">
      <c r="A20" s="64">
        <v>44200</v>
      </c>
      <c r="B20" s="40" t="s">
        <v>144</v>
      </c>
      <c r="C20" s="40" t="s">
        <v>188</v>
      </c>
      <c r="D20" s="40">
        <v>28.21</v>
      </c>
      <c r="E20" s="48">
        <v>17.724211272598367</v>
      </c>
      <c r="F20" s="49">
        <f t="shared" si="0"/>
        <v>-499.99999999999994</v>
      </c>
      <c r="G20" s="46">
        <f t="shared" si="1"/>
        <v>-4.9999999999999996E-2</v>
      </c>
      <c r="H20" s="69">
        <f t="shared" si="2"/>
        <v>1000</v>
      </c>
    </row>
    <row r="21" spans="1:8">
      <c r="A21" s="64">
        <v>44200</v>
      </c>
      <c r="B21" s="40" t="s">
        <v>144</v>
      </c>
      <c r="C21" s="40" t="s">
        <v>189</v>
      </c>
      <c r="D21" s="40">
        <v>14.6</v>
      </c>
      <c r="E21" s="48">
        <v>34.246575342465754</v>
      </c>
      <c r="F21" s="49">
        <f t="shared" si="0"/>
        <v>-500</v>
      </c>
      <c r="G21" s="46">
        <f t="shared" si="1"/>
        <v>-0.05</v>
      </c>
      <c r="H21" s="69">
        <f t="shared" si="2"/>
        <v>500</v>
      </c>
    </row>
    <row r="22" spans="1:8">
      <c r="A22" s="64">
        <v>44287</v>
      </c>
      <c r="B22" s="40" t="s">
        <v>145</v>
      </c>
      <c r="C22" s="35" t="s">
        <v>171</v>
      </c>
      <c r="D22" s="40">
        <v>100.45</v>
      </c>
      <c r="E22" s="48">
        <v>8.4317032040472171</v>
      </c>
      <c r="F22" s="49">
        <f t="shared" ref="F22:F40" si="3">+D22*E22</f>
        <v>846.96458684654294</v>
      </c>
      <c r="G22" s="46">
        <f t="shared" si="1"/>
        <v>8.4696458684654294E-2</v>
      </c>
      <c r="H22" s="69">
        <f t="shared" si="2"/>
        <v>1346.9645868465429</v>
      </c>
    </row>
    <row r="23" spans="1:8">
      <c r="A23" s="64">
        <v>44287</v>
      </c>
      <c r="B23" s="40" t="s">
        <v>145</v>
      </c>
      <c r="C23" s="35" t="s">
        <v>172</v>
      </c>
      <c r="D23" s="40">
        <v>37.97</v>
      </c>
      <c r="E23" s="48">
        <v>17.482517482517483</v>
      </c>
      <c r="F23" s="49">
        <f t="shared" si="3"/>
        <v>663.8111888111888</v>
      </c>
      <c r="G23" s="46">
        <f t="shared" si="1"/>
        <v>6.6381118881118875E-2</v>
      </c>
      <c r="H23" s="69">
        <f t="shared" si="2"/>
        <v>2010.7757756577316</v>
      </c>
    </row>
    <row r="24" spans="1:8">
      <c r="A24" s="64">
        <v>44287</v>
      </c>
      <c r="B24" s="40" t="s">
        <v>145</v>
      </c>
      <c r="C24" s="35" t="s">
        <v>173</v>
      </c>
      <c r="D24" s="40">
        <v>18.38</v>
      </c>
      <c r="E24" s="48">
        <v>30.525030525030527</v>
      </c>
      <c r="F24" s="49">
        <f t="shared" si="3"/>
        <v>561.050061050061</v>
      </c>
      <c r="G24" s="46">
        <f t="shared" si="1"/>
        <v>5.61050061050061E-2</v>
      </c>
      <c r="H24" s="69">
        <f t="shared" si="2"/>
        <v>2571.8258367077924</v>
      </c>
    </row>
    <row r="25" spans="1:8">
      <c r="A25" s="64">
        <v>44287</v>
      </c>
      <c r="B25" s="40" t="s">
        <v>145</v>
      </c>
      <c r="C25" s="35" t="s">
        <v>174</v>
      </c>
      <c r="D25" s="40">
        <v>24.03</v>
      </c>
      <c r="E25" s="48">
        <v>23.430178069353328</v>
      </c>
      <c r="F25" s="49">
        <f t="shared" si="3"/>
        <v>563.02717900656046</v>
      </c>
      <c r="G25" s="46">
        <f t="shared" si="1"/>
        <v>5.6302717900656045E-2</v>
      </c>
      <c r="H25" s="69">
        <f t="shared" si="2"/>
        <v>3134.8530157143528</v>
      </c>
    </row>
    <row r="26" spans="1:8">
      <c r="A26" s="64">
        <v>44287</v>
      </c>
      <c r="B26" s="40" t="s">
        <v>145</v>
      </c>
      <c r="C26" s="35" t="s">
        <v>175</v>
      </c>
      <c r="D26" s="40">
        <v>16.3</v>
      </c>
      <c r="E26" s="48">
        <v>26.867275658248253</v>
      </c>
      <c r="F26" s="49">
        <f t="shared" si="3"/>
        <v>437.93659322944654</v>
      </c>
      <c r="G26" s="46">
        <f t="shared" si="1"/>
        <v>4.3793659322944656E-2</v>
      </c>
      <c r="H26" s="69">
        <f t="shared" si="2"/>
        <v>3572.7896089437991</v>
      </c>
    </row>
    <row r="27" spans="1:8">
      <c r="A27" s="64">
        <v>44287</v>
      </c>
      <c r="B27" s="40" t="s">
        <v>145</v>
      </c>
      <c r="C27" s="35" t="s">
        <v>176</v>
      </c>
      <c r="D27" s="40">
        <v>14.76</v>
      </c>
      <c r="E27" s="48">
        <v>42.553191489361701</v>
      </c>
      <c r="F27" s="49">
        <f t="shared" si="3"/>
        <v>628.08510638297867</v>
      </c>
      <c r="G27" s="46">
        <f t="shared" si="1"/>
        <v>6.2808510638297871E-2</v>
      </c>
      <c r="H27" s="69">
        <f t="shared" si="2"/>
        <v>4200.8747153267777</v>
      </c>
    </row>
    <row r="28" spans="1:8">
      <c r="A28" s="64">
        <v>44287</v>
      </c>
      <c r="B28" s="40" t="s">
        <v>145</v>
      </c>
      <c r="C28" s="35" t="s">
        <v>177</v>
      </c>
      <c r="D28" s="40">
        <v>9.26</v>
      </c>
      <c r="E28" s="48">
        <v>62.421972534332085</v>
      </c>
      <c r="F28" s="49">
        <f t="shared" si="3"/>
        <v>578.02746566791507</v>
      </c>
      <c r="G28" s="46">
        <f t="shared" si="1"/>
        <v>5.7802746566791505E-2</v>
      </c>
      <c r="H28" s="69">
        <f t="shared" si="2"/>
        <v>4778.9021809946926</v>
      </c>
    </row>
    <row r="29" spans="1:8">
      <c r="A29" s="64">
        <v>44287</v>
      </c>
      <c r="B29" s="40" t="s">
        <v>145</v>
      </c>
      <c r="C29" s="35" t="s">
        <v>178</v>
      </c>
      <c r="D29" s="40">
        <v>3.16</v>
      </c>
      <c r="E29" s="48">
        <v>150.60240963855424</v>
      </c>
      <c r="F29" s="49">
        <f t="shared" si="3"/>
        <v>475.9036144578314</v>
      </c>
      <c r="G29" s="46">
        <f t="shared" si="1"/>
        <v>4.7590361445783137E-2</v>
      </c>
      <c r="H29" s="69">
        <f t="shared" si="2"/>
        <v>5254.8057954525239</v>
      </c>
    </row>
    <row r="30" spans="1:8">
      <c r="A30" s="64">
        <v>44287</v>
      </c>
      <c r="B30" s="40" t="s">
        <v>145</v>
      </c>
      <c r="C30" s="35" t="s">
        <v>179</v>
      </c>
      <c r="D30" s="40">
        <v>28.84</v>
      </c>
      <c r="E30" s="48">
        <v>20.28397565922921</v>
      </c>
      <c r="F30" s="49">
        <f t="shared" si="3"/>
        <v>584.98985801217043</v>
      </c>
      <c r="G30" s="46">
        <f t="shared" si="1"/>
        <v>5.8498985801217041E-2</v>
      </c>
      <c r="H30" s="69">
        <f t="shared" si="2"/>
        <v>5839.7956534646946</v>
      </c>
    </row>
    <row r="31" spans="1:8">
      <c r="A31" s="64">
        <v>44287</v>
      </c>
      <c r="B31" s="40" t="s">
        <v>145</v>
      </c>
      <c r="C31" s="35" t="s">
        <v>180</v>
      </c>
      <c r="D31" s="40">
        <v>49.89</v>
      </c>
      <c r="E31" s="48">
        <v>14.392630972941854</v>
      </c>
      <c r="F31" s="49">
        <f t="shared" si="3"/>
        <v>718.04835924006909</v>
      </c>
      <c r="G31" s="46">
        <f t="shared" si="1"/>
        <v>7.180483592400691E-2</v>
      </c>
      <c r="H31" s="69">
        <f t="shared" si="2"/>
        <v>6557.8440127047634</v>
      </c>
    </row>
    <row r="32" spans="1:8">
      <c r="A32" s="64">
        <v>44287</v>
      </c>
      <c r="B32" s="40" t="s">
        <v>145</v>
      </c>
      <c r="C32" s="35" t="s">
        <v>181</v>
      </c>
      <c r="D32" s="40">
        <v>24.28</v>
      </c>
      <c r="E32" s="48">
        <v>23.34267040149393</v>
      </c>
      <c r="F32" s="49">
        <f t="shared" si="3"/>
        <v>566.76003734827259</v>
      </c>
      <c r="G32" s="46">
        <f t="shared" si="1"/>
        <v>5.6676003734827257E-2</v>
      </c>
      <c r="H32" s="69">
        <f t="shared" si="2"/>
        <v>7124.6040500530362</v>
      </c>
    </row>
    <row r="33" spans="1:8">
      <c r="A33" s="64">
        <v>44287</v>
      </c>
      <c r="B33" s="40" t="s">
        <v>145</v>
      </c>
      <c r="C33" s="35" t="s">
        <v>182</v>
      </c>
      <c r="D33" s="40">
        <v>32.33</v>
      </c>
      <c r="E33" s="48">
        <v>20.669698222405952</v>
      </c>
      <c r="F33" s="49">
        <f t="shared" si="3"/>
        <v>668.25134353038436</v>
      </c>
      <c r="G33" s="46">
        <f t="shared" si="1"/>
        <v>6.682513435303844E-2</v>
      </c>
      <c r="H33" s="69">
        <f t="shared" si="2"/>
        <v>7792.8553935834207</v>
      </c>
    </row>
    <row r="34" spans="1:8">
      <c r="A34" s="64">
        <v>44287</v>
      </c>
      <c r="B34" s="40" t="s">
        <v>145</v>
      </c>
      <c r="C34" s="35" t="s">
        <v>183</v>
      </c>
      <c r="D34" s="40">
        <v>19.32</v>
      </c>
      <c r="E34" s="48">
        <v>34.818941504178277</v>
      </c>
      <c r="F34" s="49">
        <f t="shared" si="3"/>
        <v>672.70194986072431</v>
      </c>
      <c r="G34" s="46">
        <f t="shared" si="1"/>
        <v>6.7270194986072437E-2</v>
      </c>
      <c r="H34" s="69">
        <f t="shared" si="2"/>
        <v>8465.5573434441449</v>
      </c>
    </row>
    <row r="35" spans="1:8">
      <c r="A35" s="64">
        <v>44287</v>
      </c>
      <c r="B35" s="40" t="s">
        <v>145</v>
      </c>
      <c r="C35" s="35" t="s">
        <v>184</v>
      </c>
      <c r="D35" s="40">
        <v>6.43</v>
      </c>
      <c r="E35" s="48">
        <v>72.358900144717794</v>
      </c>
      <c r="F35" s="49">
        <f t="shared" si="3"/>
        <v>465.26772793053539</v>
      </c>
      <c r="G35" s="46">
        <f t="shared" si="1"/>
        <v>4.652677279305354E-2</v>
      </c>
      <c r="H35" s="69">
        <f t="shared" si="2"/>
        <v>8930.8250713746802</v>
      </c>
    </row>
    <row r="36" spans="1:8">
      <c r="A36" s="64">
        <v>44287</v>
      </c>
      <c r="B36" s="40" t="s">
        <v>145</v>
      </c>
      <c r="C36" s="35" t="s">
        <v>185</v>
      </c>
      <c r="D36" s="40">
        <v>36.090000000000003</v>
      </c>
      <c r="E36" s="48">
        <v>21.682567215958372</v>
      </c>
      <c r="F36" s="49">
        <f t="shared" si="3"/>
        <v>782.52385082393766</v>
      </c>
      <c r="G36" s="46">
        <f t="shared" si="1"/>
        <v>7.8252385082393766E-2</v>
      </c>
      <c r="H36" s="69">
        <f t="shared" si="2"/>
        <v>9713.3489221986183</v>
      </c>
    </row>
    <row r="37" spans="1:8">
      <c r="A37" s="64">
        <v>44287</v>
      </c>
      <c r="B37" s="40" t="s">
        <v>145</v>
      </c>
      <c r="C37" s="35" t="s">
        <v>186</v>
      </c>
      <c r="D37" s="40">
        <v>24.12</v>
      </c>
      <c r="E37" s="48">
        <v>22.872827081427264</v>
      </c>
      <c r="F37" s="49">
        <f t="shared" si="3"/>
        <v>551.69258920402558</v>
      </c>
      <c r="G37" s="46">
        <f t="shared" si="1"/>
        <v>5.5169258920402559E-2</v>
      </c>
      <c r="H37" s="69">
        <f t="shared" si="2"/>
        <v>10265.041511402644</v>
      </c>
    </row>
    <row r="38" spans="1:8">
      <c r="A38" s="64">
        <v>44287</v>
      </c>
      <c r="B38" s="40" t="s">
        <v>145</v>
      </c>
      <c r="C38" s="35" t="s">
        <v>187</v>
      </c>
      <c r="D38" s="40">
        <v>13.06</v>
      </c>
      <c r="E38" s="48">
        <v>39.032006245120996</v>
      </c>
      <c r="F38" s="49">
        <f t="shared" si="3"/>
        <v>509.75800156128025</v>
      </c>
      <c r="G38" s="46">
        <f t="shared" si="1"/>
        <v>5.0975800156128022E-2</v>
      </c>
      <c r="H38" s="69">
        <f t="shared" si="2"/>
        <v>10774.799512963924</v>
      </c>
    </row>
    <row r="39" spans="1:8">
      <c r="A39" s="64">
        <v>44287</v>
      </c>
      <c r="B39" s="40" t="s">
        <v>145</v>
      </c>
      <c r="C39" s="35" t="s">
        <v>188</v>
      </c>
      <c r="D39" s="40">
        <v>27.49</v>
      </c>
      <c r="E39" s="48">
        <v>17.724211272598367</v>
      </c>
      <c r="F39" s="49">
        <f t="shared" si="3"/>
        <v>487.2385678837291</v>
      </c>
      <c r="G39" s="46">
        <f t="shared" si="1"/>
        <v>4.8723856788372912E-2</v>
      </c>
      <c r="H39" s="69">
        <f t="shared" si="2"/>
        <v>11262.038080847653</v>
      </c>
    </row>
    <row r="40" spans="1:8">
      <c r="A40" s="64">
        <v>44287</v>
      </c>
      <c r="B40" s="40" t="s">
        <v>145</v>
      </c>
      <c r="C40" s="35" t="s">
        <v>189</v>
      </c>
      <c r="D40" s="40">
        <v>19.2</v>
      </c>
      <c r="E40" s="48">
        <v>34.246575342465754</v>
      </c>
      <c r="F40" s="49">
        <f t="shared" si="3"/>
        <v>657.53424657534242</v>
      </c>
      <c r="G40" s="46">
        <f t="shared" si="1"/>
        <v>6.575342465753424E-2</v>
      </c>
      <c r="H40" s="90">
        <f t="shared" si="2"/>
        <v>11919.572327422995</v>
      </c>
    </row>
    <row r="41" spans="1:8">
      <c r="A41" s="64">
        <v>44287</v>
      </c>
      <c r="B41" s="40" t="s">
        <v>144</v>
      </c>
      <c r="C41" s="44" t="s">
        <v>190</v>
      </c>
      <c r="D41" s="20">
        <v>50.97</v>
      </c>
      <c r="E41" s="49">
        <f t="shared" ref="E41:E60" si="4">($H$40*0.05)/D41</f>
        <v>11.692733301376295</v>
      </c>
      <c r="F41" s="49">
        <f t="shared" ref="F41:F60" si="5">-E41*D41</f>
        <v>-595.97861637114977</v>
      </c>
      <c r="G41" s="46">
        <f t="shared" si="1"/>
        <v>-5.9597861637114974E-2</v>
      </c>
      <c r="H41" s="69">
        <f t="shared" si="2"/>
        <v>11323.593711051844</v>
      </c>
    </row>
    <row r="42" spans="1:8">
      <c r="A42" s="64">
        <v>44287</v>
      </c>
      <c r="B42" s="40" t="s">
        <v>144</v>
      </c>
      <c r="C42" s="44" t="s">
        <v>171</v>
      </c>
      <c r="D42" s="20">
        <v>100.45</v>
      </c>
      <c r="E42" s="49">
        <f t="shared" si="4"/>
        <v>5.9330872709920337</v>
      </c>
      <c r="F42" s="49">
        <f t="shared" si="5"/>
        <v>-595.97861637114977</v>
      </c>
      <c r="G42" s="46">
        <f t="shared" si="1"/>
        <v>-5.9597861637114974E-2</v>
      </c>
      <c r="H42" s="69">
        <f t="shared" si="2"/>
        <v>10727.615094680694</v>
      </c>
    </row>
    <row r="43" spans="1:8">
      <c r="A43" s="64">
        <v>44287</v>
      </c>
      <c r="B43" s="40" t="s">
        <v>144</v>
      </c>
      <c r="C43" s="44" t="s">
        <v>191</v>
      </c>
      <c r="D43" s="20">
        <v>23.52</v>
      </c>
      <c r="E43" s="49">
        <f t="shared" si="4"/>
        <v>25.339226886528476</v>
      </c>
      <c r="F43" s="49">
        <f t="shared" si="5"/>
        <v>-595.97861637114977</v>
      </c>
      <c r="G43" s="46">
        <f t="shared" si="1"/>
        <v>-5.9597861637114974E-2</v>
      </c>
      <c r="H43" s="69">
        <f t="shared" si="2"/>
        <v>10131.636478309543</v>
      </c>
    </row>
    <row r="44" spans="1:8">
      <c r="A44" s="64">
        <v>44287</v>
      </c>
      <c r="B44" s="40" t="s">
        <v>144</v>
      </c>
      <c r="C44" s="44" t="s">
        <v>192</v>
      </c>
      <c r="D44" s="20">
        <v>10.19</v>
      </c>
      <c r="E44" s="49">
        <f t="shared" si="4"/>
        <v>58.486615934362099</v>
      </c>
      <c r="F44" s="49">
        <f t="shared" si="5"/>
        <v>-595.97861637114977</v>
      </c>
      <c r="G44" s="46">
        <f t="shared" si="1"/>
        <v>-5.9597861637114974E-2</v>
      </c>
      <c r="H44" s="69">
        <f t="shared" si="2"/>
        <v>9535.6578619383927</v>
      </c>
    </row>
    <row r="45" spans="1:8">
      <c r="A45" s="64">
        <v>44287</v>
      </c>
      <c r="B45" s="40" t="s">
        <v>144</v>
      </c>
      <c r="C45" s="44" t="s">
        <v>189</v>
      </c>
      <c r="D45" s="20">
        <v>19.2</v>
      </c>
      <c r="E45" s="49">
        <f t="shared" si="4"/>
        <v>31.040552935997386</v>
      </c>
      <c r="F45" s="49">
        <f t="shared" si="5"/>
        <v>-595.97861637114977</v>
      </c>
      <c r="G45" s="46">
        <f t="shared" si="1"/>
        <v>-5.9597861637114974E-2</v>
      </c>
      <c r="H45" s="69">
        <f t="shared" si="2"/>
        <v>8939.6792455672421</v>
      </c>
    </row>
    <row r="46" spans="1:8">
      <c r="A46" s="64">
        <v>44287</v>
      </c>
      <c r="B46" s="40" t="s">
        <v>144</v>
      </c>
      <c r="C46" s="44" t="s">
        <v>193</v>
      </c>
      <c r="D46" s="20">
        <v>17.12</v>
      </c>
      <c r="E46" s="49">
        <f t="shared" si="4"/>
        <v>34.811835068408278</v>
      </c>
      <c r="F46" s="49">
        <f t="shared" si="5"/>
        <v>-595.97861637114977</v>
      </c>
      <c r="G46" s="46">
        <f t="shared" si="1"/>
        <v>-5.9597861637114974E-2</v>
      </c>
      <c r="H46" s="69">
        <f t="shared" si="2"/>
        <v>8343.7006291960915</v>
      </c>
    </row>
    <row r="47" spans="1:8">
      <c r="A47" s="64">
        <v>44287</v>
      </c>
      <c r="B47" s="40" t="s">
        <v>144</v>
      </c>
      <c r="C47" s="44" t="s">
        <v>194</v>
      </c>
      <c r="D47" s="20">
        <v>75.19</v>
      </c>
      <c r="E47" s="49">
        <f t="shared" si="4"/>
        <v>7.9263015875934268</v>
      </c>
      <c r="F47" s="49">
        <f t="shared" si="5"/>
        <v>-595.97861637114977</v>
      </c>
      <c r="G47" s="46">
        <f t="shared" si="1"/>
        <v>-5.9597861637114974E-2</v>
      </c>
      <c r="H47" s="69">
        <f t="shared" si="2"/>
        <v>7747.7220128249419</v>
      </c>
    </row>
    <row r="48" spans="1:8">
      <c r="A48" s="64">
        <v>44287</v>
      </c>
      <c r="B48" s="40" t="s">
        <v>144</v>
      </c>
      <c r="C48" s="44" t="s">
        <v>195</v>
      </c>
      <c r="D48" s="20">
        <v>61.8</v>
      </c>
      <c r="E48" s="49">
        <f t="shared" si="4"/>
        <v>9.6436669315720032</v>
      </c>
      <c r="F48" s="49">
        <f t="shared" si="5"/>
        <v>-595.97861637114977</v>
      </c>
      <c r="G48" s="46">
        <f t="shared" si="1"/>
        <v>-5.9597861637114974E-2</v>
      </c>
      <c r="H48" s="69">
        <f t="shared" si="2"/>
        <v>7151.7433964537922</v>
      </c>
    </row>
    <row r="49" spans="1:8">
      <c r="A49" s="64">
        <v>44287</v>
      </c>
      <c r="B49" s="40" t="s">
        <v>144</v>
      </c>
      <c r="C49" s="44" t="s">
        <v>176</v>
      </c>
      <c r="D49" s="20">
        <v>14.76</v>
      </c>
      <c r="E49" s="49">
        <f t="shared" si="4"/>
        <v>40.377955038695788</v>
      </c>
      <c r="F49" s="49">
        <f t="shared" si="5"/>
        <v>-595.97861637114977</v>
      </c>
      <c r="G49" s="46">
        <f t="shared" si="1"/>
        <v>-5.9597861637114974E-2</v>
      </c>
      <c r="H49" s="69">
        <f t="shared" si="2"/>
        <v>6555.7647800826426</v>
      </c>
    </row>
    <row r="50" spans="1:8">
      <c r="A50" s="64">
        <v>44287</v>
      </c>
      <c r="B50" s="40" t="s">
        <v>144</v>
      </c>
      <c r="C50" s="44" t="s">
        <v>196</v>
      </c>
      <c r="D50" s="20">
        <v>18.43</v>
      </c>
      <c r="E50" s="49">
        <f t="shared" si="4"/>
        <v>32.337418142764506</v>
      </c>
      <c r="F50" s="49">
        <f t="shared" si="5"/>
        <v>-595.97861637114988</v>
      </c>
      <c r="G50" s="46">
        <f t="shared" si="1"/>
        <v>-5.9597861637114988E-2</v>
      </c>
      <c r="H50" s="69">
        <f t="shared" si="2"/>
        <v>5959.7861637114929</v>
      </c>
    </row>
    <row r="51" spans="1:8">
      <c r="A51" s="64">
        <v>44287</v>
      </c>
      <c r="B51" s="40" t="s">
        <v>144</v>
      </c>
      <c r="C51" s="44" t="s">
        <v>197</v>
      </c>
      <c r="D51" s="20">
        <v>39.07</v>
      </c>
      <c r="E51" s="49">
        <f t="shared" si="4"/>
        <v>15.254123787334265</v>
      </c>
      <c r="F51" s="49">
        <f t="shared" si="5"/>
        <v>-595.97861637114977</v>
      </c>
      <c r="G51" s="46">
        <f t="shared" si="1"/>
        <v>-5.9597861637114974E-2</v>
      </c>
      <c r="H51" s="69">
        <f t="shared" si="2"/>
        <v>5363.8075473403433</v>
      </c>
    </row>
    <row r="52" spans="1:8">
      <c r="A52" s="64">
        <v>44287</v>
      </c>
      <c r="B52" s="40" t="s">
        <v>144</v>
      </c>
      <c r="C52" s="44" t="s">
        <v>198</v>
      </c>
      <c r="D52" s="20">
        <v>38.25</v>
      </c>
      <c r="E52" s="49">
        <f t="shared" si="4"/>
        <v>15.581140297284961</v>
      </c>
      <c r="F52" s="49">
        <f t="shared" si="5"/>
        <v>-595.97861637114977</v>
      </c>
      <c r="G52" s="46">
        <f t="shared" si="1"/>
        <v>-5.9597861637114974E-2</v>
      </c>
      <c r="H52" s="69">
        <f t="shared" si="2"/>
        <v>4767.8289309691936</v>
      </c>
    </row>
    <row r="53" spans="1:8">
      <c r="A53" s="64">
        <v>44287</v>
      </c>
      <c r="B53" s="40" t="s">
        <v>144</v>
      </c>
      <c r="C53" s="44" t="s">
        <v>199</v>
      </c>
      <c r="D53" s="20">
        <v>27.66</v>
      </c>
      <c r="E53" s="49">
        <f t="shared" si="4"/>
        <v>21.546587721299701</v>
      </c>
      <c r="F53" s="49">
        <f t="shared" si="5"/>
        <v>-595.97861637114977</v>
      </c>
      <c r="G53" s="46">
        <f t="shared" si="1"/>
        <v>-5.9597861637114974E-2</v>
      </c>
      <c r="H53" s="69">
        <f t="shared" si="2"/>
        <v>4171.850314598044</v>
      </c>
    </row>
    <row r="54" spans="1:8">
      <c r="A54" s="64">
        <v>44287</v>
      </c>
      <c r="B54" s="40" t="s">
        <v>144</v>
      </c>
      <c r="C54" s="44" t="s">
        <v>200</v>
      </c>
      <c r="D54" s="20">
        <v>80.05</v>
      </c>
      <c r="E54" s="49">
        <f t="shared" si="4"/>
        <v>7.4450795299331638</v>
      </c>
      <c r="F54" s="49">
        <f t="shared" si="5"/>
        <v>-595.97861637114977</v>
      </c>
      <c r="G54" s="46">
        <f t="shared" si="1"/>
        <v>-5.9597861637114974E-2</v>
      </c>
      <c r="H54" s="69">
        <f t="shared" si="2"/>
        <v>3575.8716982268943</v>
      </c>
    </row>
    <row r="55" spans="1:8">
      <c r="A55" s="64">
        <v>44287</v>
      </c>
      <c r="B55" s="40" t="s">
        <v>144</v>
      </c>
      <c r="C55" s="44" t="s">
        <v>201</v>
      </c>
      <c r="D55" s="20">
        <v>36.11</v>
      </c>
      <c r="E55" s="49">
        <f t="shared" si="4"/>
        <v>16.504531054310434</v>
      </c>
      <c r="F55" s="49">
        <f t="shared" si="5"/>
        <v>-595.97861637114977</v>
      </c>
      <c r="G55" s="46">
        <f t="shared" si="1"/>
        <v>-5.9597861637114974E-2</v>
      </c>
      <c r="H55" s="69">
        <f t="shared" si="2"/>
        <v>2979.8930818557446</v>
      </c>
    </row>
    <row r="56" spans="1:8">
      <c r="A56" s="64">
        <v>44287</v>
      </c>
      <c r="B56" s="40" t="s">
        <v>144</v>
      </c>
      <c r="C56" s="44" t="s">
        <v>202</v>
      </c>
      <c r="D56" s="20">
        <v>56.97</v>
      </c>
      <c r="E56" s="49">
        <f t="shared" si="4"/>
        <v>10.461271131668418</v>
      </c>
      <c r="F56" s="49">
        <f t="shared" si="5"/>
        <v>-595.97861637114977</v>
      </c>
      <c r="G56" s="46">
        <f t="shared" si="1"/>
        <v>-5.9597861637114974E-2</v>
      </c>
      <c r="H56" s="69">
        <f t="shared" si="2"/>
        <v>2383.914465484595</v>
      </c>
    </row>
    <row r="57" spans="1:8">
      <c r="A57" s="64">
        <v>44287</v>
      </c>
      <c r="B57" s="40" t="s">
        <v>144</v>
      </c>
      <c r="C57" s="44" t="s">
        <v>179</v>
      </c>
      <c r="D57" s="20">
        <v>28.84</v>
      </c>
      <c r="E57" s="49">
        <f t="shared" si="4"/>
        <v>20.665000567654292</v>
      </c>
      <c r="F57" s="49">
        <f t="shared" si="5"/>
        <v>-595.97861637114977</v>
      </c>
      <c r="G57" s="46">
        <f t="shared" si="1"/>
        <v>-5.9597861637114974E-2</v>
      </c>
      <c r="H57" s="69">
        <f t="shared" si="2"/>
        <v>1787.9358491134453</v>
      </c>
    </row>
    <row r="58" spans="1:8">
      <c r="A58" s="64">
        <v>44287</v>
      </c>
      <c r="B58" s="40" t="s">
        <v>144</v>
      </c>
      <c r="C58" s="44" t="s">
        <v>203</v>
      </c>
      <c r="D58" s="20">
        <v>92.41</v>
      </c>
      <c r="E58" s="49">
        <f t="shared" si="4"/>
        <v>6.4492870508727389</v>
      </c>
      <c r="F58" s="49">
        <f t="shared" si="5"/>
        <v>-595.97861637114977</v>
      </c>
      <c r="G58" s="46">
        <f t="shared" si="1"/>
        <v>-5.9597861637114974E-2</v>
      </c>
      <c r="H58" s="69">
        <f t="shared" si="2"/>
        <v>1191.9572327422957</v>
      </c>
    </row>
    <row r="59" spans="1:8">
      <c r="A59" s="64">
        <v>44287</v>
      </c>
      <c r="B59" s="40" t="s">
        <v>144</v>
      </c>
      <c r="C59" s="44" t="s">
        <v>204</v>
      </c>
      <c r="D59" s="20">
        <v>12.4</v>
      </c>
      <c r="E59" s="49">
        <f t="shared" si="4"/>
        <v>48.062791642834661</v>
      </c>
      <c r="F59" s="49">
        <f t="shared" si="5"/>
        <v>-595.97861637114977</v>
      </c>
      <c r="G59" s="46">
        <f t="shared" si="1"/>
        <v>-5.9597861637114974E-2</v>
      </c>
      <c r="H59" s="69">
        <f t="shared" si="2"/>
        <v>595.9786163711459</v>
      </c>
    </row>
    <row r="60" spans="1:8">
      <c r="A60" s="64">
        <v>44287</v>
      </c>
      <c r="B60" s="40" t="s">
        <v>144</v>
      </c>
      <c r="C60" s="44" t="s">
        <v>205</v>
      </c>
      <c r="D60" s="20">
        <v>142.69999999999999</v>
      </c>
      <c r="E60" s="49">
        <f t="shared" si="4"/>
        <v>4.1764444034418347</v>
      </c>
      <c r="F60" s="49">
        <f t="shared" si="5"/>
        <v>-595.97861637114977</v>
      </c>
      <c r="G60" s="46">
        <f t="shared" si="1"/>
        <v>-5.9597861637114974E-2</v>
      </c>
      <c r="H60" s="69">
        <f t="shared" si="2"/>
        <v>-3.865352482534945E-12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FF00"/>
    <outlinePr summaryBelow="0" summaryRight="0"/>
  </sheetPr>
  <dimension ref="A1:H62"/>
  <sheetViews>
    <sheetView workbookViewId="0">
      <pane ySplit="2" topLeftCell="A3" activePane="bottomLeft" state="frozen"/>
      <selection pane="bottomLeft" activeCell="B4" sqref="B4"/>
    </sheetView>
  </sheetViews>
  <sheetFormatPr defaultColWidth="14.42578125" defaultRowHeight="15.75" customHeight="1"/>
  <sheetData>
    <row r="1" spans="1:8">
      <c r="A1" s="35"/>
      <c r="B1" s="35"/>
      <c r="C1" s="35"/>
      <c r="D1" s="40" t="s">
        <v>140</v>
      </c>
      <c r="E1" s="40" t="s">
        <v>59</v>
      </c>
      <c r="F1" s="40" t="s">
        <v>141</v>
      </c>
      <c r="G1" s="40" t="s">
        <v>142</v>
      </c>
      <c r="H1" s="40" t="s">
        <v>143</v>
      </c>
    </row>
    <row r="2" spans="1:8">
      <c r="H2" s="69">
        <v>10000</v>
      </c>
    </row>
    <row r="3" spans="1:8">
      <c r="A3" s="64">
        <v>44200</v>
      </c>
      <c r="B3" s="40" t="s">
        <v>144</v>
      </c>
      <c r="C3" s="93" t="s">
        <v>178</v>
      </c>
      <c r="D3" s="93">
        <v>3.32</v>
      </c>
      <c r="E3" s="48">
        <v>150.60240963855424</v>
      </c>
      <c r="F3" s="35">
        <f t="shared" ref="F3:F22" si="0">-D3*E3</f>
        <v>-500.00000000000006</v>
      </c>
      <c r="G3" s="46">
        <f t="shared" ref="G3:G62" si="1">F3/$H$2</f>
        <v>-0.05</v>
      </c>
      <c r="H3" s="69">
        <f t="shared" ref="H3:H62" si="2">H2+F3</f>
        <v>9500</v>
      </c>
    </row>
    <row r="4" spans="1:8">
      <c r="A4" s="64">
        <v>44200</v>
      </c>
      <c r="B4" s="40" t="s">
        <v>144</v>
      </c>
      <c r="C4" s="93" t="s">
        <v>206</v>
      </c>
      <c r="D4" s="93">
        <v>67.27</v>
      </c>
      <c r="E4" s="48">
        <v>7.4327337594767364</v>
      </c>
      <c r="F4" s="35">
        <f t="shared" si="0"/>
        <v>-500.00000000000006</v>
      </c>
      <c r="G4" s="46">
        <f t="shared" si="1"/>
        <v>-0.05</v>
      </c>
      <c r="H4" s="69">
        <f t="shared" si="2"/>
        <v>9000</v>
      </c>
    </row>
    <row r="5" spans="1:8">
      <c r="A5" s="64">
        <v>44200</v>
      </c>
      <c r="B5" s="40" t="s">
        <v>144</v>
      </c>
      <c r="C5" s="93" t="s">
        <v>207</v>
      </c>
      <c r="D5" s="93">
        <v>526.46</v>
      </c>
      <c r="E5" s="48">
        <v>0.94973977130266296</v>
      </c>
      <c r="F5" s="35">
        <f t="shared" si="0"/>
        <v>-500</v>
      </c>
      <c r="G5" s="46">
        <f t="shared" si="1"/>
        <v>-0.05</v>
      </c>
      <c r="H5" s="69">
        <f t="shared" si="2"/>
        <v>8500</v>
      </c>
    </row>
    <row r="6" spans="1:8">
      <c r="A6" s="64">
        <v>44200</v>
      </c>
      <c r="B6" s="40" t="s">
        <v>144</v>
      </c>
      <c r="C6" s="93" t="s">
        <v>208</v>
      </c>
      <c r="D6" s="93">
        <v>91.78</v>
      </c>
      <c r="E6" s="48">
        <v>5.4478099803878841</v>
      </c>
      <c r="F6" s="35">
        <f t="shared" si="0"/>
        <v>-500</v>
      </c>
      <c r="G6" s="46">
        <f t="shared" si="1"/>
        <v>-0.05</v>
      </c>
      <c r="H6" s="69">
        <f t="shared" si="2"/>
        <v>8000</v>
      </c>
    </row>
    <row r="7" spans="1:8">
      <c r="A7" s="64">
        <v>44200</v>
      </c>
      <c r="B7" s="40" t="s">
        <v>144</v>
      </c>
      <c r="C7" s="93" t="s">
        <v>209</v>
      </c>
      <c r="D7" s="93">
        <v>23.54</v>
      </c>
      <c r="E7" s="48">
        <v>21.240441801189466</v>
      </c>
      <c r="F7" s="35">
        <f t="shared" si="0"/>
        <v>-500</v>
      </c>
      <c r="G7" s="46">
        <f t="shared" si="1"/>
        <v>-0.05</v>
      </c>
      <c r="H7" s="69">
        <f t="shared" si="2"/>
        <v>7500</v>
      </c>
    </row>
    <row r="8" spans="1:8">
      <c r="A8" s="64">
        <v>44200</v>
      </c>
      <c r="B8" s="40" t="s">
        <v>144</v>
      </c>
      <c r="C8" s="93" t="s">
        <v>210</v>
      </c>
      <c r="D8" s="93">
        <v>6.67</v>
      </c>
      <c r="E8" s="48">
        <v>74.96251874062969</v>
      </c>
      <c r="F8" s="35">
        <f t="shared" si="0"/>
        <v>-500.00000000000006</v>
      </c>
      <c r="G8" s="46">
        <f t="shared" si="1"/>
        <v>-0.05</v>
      </c>
      <c r="H8" s="69">
        <f t="shared" si="2"/>
        <v>7000</v>
      </c>
    </row>
    <row r="9" spans="1:8">
      <c r="A9" s="64">
        <v>44200</v>
      </c>
      <c r="B9" s="40" t="s">
        <v>144</v>
      </c>
      <c r="C9" s="93" t="s">
        <v>211</v>
      </c>
      <c r="D9" s="93">
        <v>52.32</v>
      </c>
      <c r="E9" s="48">
        <v>9.5565749235473998</v>
      </c>
      <c r="F9" s="35">
        <f t="shared" si="0"/>
        <v>-499.99999999999994</v>
      </c>
      <c r="G9" s="46">
        <f t="shared" si="1"/>
        <v>-4.9999999999999996E-2</v>
      </c>
      <c r="H9" s="69">
        <f t="shared" si="2"/>
        <v>6500</v>
      </c>
    </row>
    <row r="10" spans="1:8">
      <c r="A10" s="64">
        <v>44200</v>
      </c>
      <c r="B10" s="40" t="s">
        <v>144</v>
      </c>
      <c r="C10" s="93" t="s">
        <v>212</v>
      </c>
      <c r="D10" s="93">
        <v>42.41</v>
      </c>
      <c r="E10" s="48">
        <v>11.789672247111531</v>
      </c>
      <c r="F10" s="35">
        <f t="shared" si="0"/>
        <v>-500</v>
      </c>
      <c r="G10" s="46">
        <f t="shared" si="1"/>
        <v>-0.05</v>
      </c>
      <c r="H10" s="69">
        <f t="shared" si="2"/>
        <v>6000</v>
      </c>
    </row>
    <row r="11" spans="1:8">
      <c r="A11" s="64">
        <v>44200</v>
      </c>
      <c r="B11" s="40" t="s">
        <v>144</v>
      </c>
      <c r="C11" s="93" t="s">
        <v>193</v>
      </c>
      <c r="D11" s="93">
        <v>17.399999999999999</v>
      </c>
      <c r="E11" s="48">
        <v>28.735632183908049</v>
      </c>
      <c r="F11" s="35">
        <f t="shared" si="0"/>
        <v>-500</v>
      </c>
      <c r="G11" s="46">
        <f t="shared" si="1"/>
        <v>-0.05</v>
      </c>
      <c r="H11" s="69">
        <f t="shared" si="2"/>
        <v>5500</v>
      </c>
    </row>
    <row r="12" spans="1:8">
      <c r="A12" s="64">
        <v>44200</v>
      </c>
      <c r="B12" s="40" t="s">
        <v>144</v>
      </c>
      <c r="C12" s="93" t="s">
        <v>213</v>
      </c>
      <c r="D12" s="93">
        <v>212.63</v>
      </c>
      <c r="E12" s="48">
        <v>2.3515026101678975</v>
      </c>
      <c r="F12" s="35">
        <f t="shared" si="0"/>
        <v>-500.00000000000006</v>
      </c>
      <c r="G12" s="46">
        <f t="shared" si="1"/>
        <v>-0.05</v>
      </c>
      <c r="H12" s="69">
        <f t="shared" si="2"/>
        <v>5000</v>
      </c>
    </row>
    <row r="13" spans="1:8">
      <c r="A13" s="64">
        <v>44200</v>
      </c>
      <c r="B13" s="40" t="s">
        <v>144</v>
      </c>
      <c r="C13" s="93" t="s">
        <v>214</v>
      </c>
      <c r="D13" s="93">
        <v>47</v>
      </c>
      <c r="E13" s="48">
        <v>10.638297872340425</v>
      </c>
      <c r="F13" s="35">
        <f t="shared" si="0"/>
        <v>-500</v>
      </c>
      <c r="G13" s="46">
        <f t="shared" si="1"/>
        <v>-0.05</v>
      </c>
      <c r="H13" s="69">
        <f t="shared" si="2"/>
        <v>4500</v>
      </c>
    </row>
    <row r="14" spans="1:8">
      <c r="A14" s="64">
        <v>44200</v>
      </c>
      <c r="B14" s="40" t="s">
        <v>144</v>
      </c>
      <c r="C14" s="93" t="s">
        <v>215</v>
      </c>
      <c r="D14" s="93">
        <v>6.42</v>
      </c>
      <c r="E14" s="48">
        <v>77.881619937694708</v>
      </c>
      <c r="F14" s="35">
        <f t="shared" si="0"/>
        <v>-500</v>
      </c>
      <c r="G14" s="46">
        <f t="shared" si="1"/>
        <v>-0.05</v>
      </c>
      <c r="H14" s="69">
        <f t="shared" si="2"/>
        <v>4000</v>
      </c>
    </row>
    <row r="15" spans="1:8">
      <c r="A15" s="64">
        <v>44200</v>
      </c>
      <c r="B15" s="40" t="s">
        <v>144</v>
      </c>
      <c r="C15" s="93" t="s">
        <v>216</v>
      </c>
      <c r="D15" s="93">
        <v>27.14</v>
      </c>
      <c r="E15" s="48">
        <v>18.422991893883566</v>
      </c>
      <c r="F15" s="35">
        <f t="shared" si="0"/>
        <v>-500</v>
      </c>
      <c r="G15" s="46">
        <f t="shared" si="1"/>
        <v>-0.05</v>
      </c>
      <c r="H15" s="69">
        <f t="shared" si="2"/>
        <v>3500</v>
      </c>
    </row>
    <row r="16" spans="1:8">
      <c r="A16" s="64">
        <v>44200</v>
      </c>
      <c r="B16" s="40" t="s">
        <v>144</v>
      </c>
      <c r="C16" s="93" t="s">
        <v>217</v>
      </c>
      <c r="D16" s="93">
        <v>48.96</v>
      </c>
      <c r="E16" s="48">
        <v>10.212418300653594</v>
      </c>
      <c r="F16" s="35">
        <f t="shared" si="0"/>
        <v>-500</v>
      </c>
      <c r="G16" s="46">
        <f t="shared" si="1"/>
        <v>-0.05</v>
      </c>
      <c r="H16" s="69">
        <f t="shared" si="2"/>
        <v>3000</v>
      </c>
    </row>
    <row r="17" spans="1:8">
      <c r="A17" s="64">
        <v>44200</v>
      </c>
      <c r="B17" s="40" t="s">
        <v>144</v>
      </c>
      <c r="C17" s="93" t="s">
        <v>218</v>
      </c>
      <c r="D17" s="93">
        <v>417.8</v>
      </c>
      <c r="E17" s="48">
        <v>1.1967448539971277</v>
      </c>
      <c r="F17" s="35">
        <f t="shared" si="0"/>
        <v>-499.99999999999994</v>
      </c>
      <c r="G17" s="46">
        <f t="shared" si="1"/>
        <v>-4.9999999999999996E-2</v>
      </c>
      <c r="H17" s="69">
        <f t="shared" si="2"/>
        <v>2500</v>
      </c>
    </row>
    <row r="18" spans="1:8">
      <c r="A18" s="64">
        <v>44200</v>
      </c>
      <c r="B18" s="40" t="s">
        <v>144</v>
      </c>
      <c r="C18" s="93" t="s">
        <v>175</v>
      </c>
      <c r="D18" s="93">
        <v>18.61</v>
      </c>
      <c r="E18" s="48">
        <v>26.867275658248253</v>
      </c>
      <c r="F18" s="35">
        <f t="shared" si="0"/>
        <v>-500</v>
      </c>
      <c r="G18" s="46">
        <f t="shared" si="1"/>
        <v>-0.05</v>
      </c>
      <c r="H18" s="69">
        <f t="shared" si="2"/>
        <v>2000</v>
      </c>
    </row>
    <row r="19" spans="1:8">
      <c r="A19" s="64">
        <v>44200</v>
      </c>
      <c r="B19" s="40" t="s">
        <v>144</v>
      </c>
      <c r="C19" s="93" t="s">
        <v>196</v>
      </c>
      <c r="D19" s="93">
        <v>16.920000000000002</v>
      </c>
      <c r="E19" s="48">
        <v>29.550827423167846</v>
      </c>
      <c r="F19" s="35">
        <f t="shared" si="0"/>
        <v>-500</v>
      </c>
      <c r="G19" s="46">
        <f t="shared" si="1"/>
        <v>-0.05</v>
      </c>
      <c r="H19" s="69">
        <f t="shared" si="2"/>
        <v>1500</v>
      </c>
    </row>
    <row r="20" spans="1:8">
      <c r="A20" s="64">
        <v>44200</v>
      </c>
      <c r="B20" s="40" t="s">
        <v>144</v>
      </c>
      <c r="C20" s="93" t="s">
        <v>219</v>
      </c>
      <c r="D20" s="93">
        <v>24.9</v>
      </c>
      <c r="E20" s="48">
        <v>20.080321285140563</v>
      </c>
      <c r="F20" s="35">
        <f t="shared" si="0"/>
        <v>-500</v>
      </c>
      <c r="G20" s="46">
        <f t="shared" si="1"/>
        <v>-0.05</v>
      </c>
      <c r="H20" s="69">
        <f t="shared" si="2"/>
        <v>1000</v>
      </c>
    </row>
    <row r="21" spans="1:8">
      <c r="A21" s="64">
        <v>44200</v>
      </c>
      <c r="B21" s="40" t="s">
        <v>144</v>
      </c>
      <c r="C21" s="93" t="s">
        <v>220</v>
      </c>
      <c r="D21" s="93">
        <v>28.62</v>
      </c>
      <c r="E21" s="48">
        <v>17.470300489168412</v>
      </c>
      <c r="F21" s="35">
        <f t="shared" si="0"/>
        <v>-500</v>
      </c>
      <c r="G21" s="46">
        <f t="shared" si="1"/>
        <v>-0.05</v>
      </c>
      <c r="H21" s="69">
        <f t="shared" si="2"/>
        <v>500</v>
      </c>
    </row>
    <row r="22" spans="1:8">
      <c r="A22" s="64">
        <v>44200</v>
      </c>
      <c r="B22" s="40" t="s">
        <v>144</v>
      </c>
      <c r="C22" s="93" t="s">
        <v>221</v>
      </c>
      <c r="D22" s="93">
        <v>108.08</v>
      </c>
      <c r="E22" s="48">
        <v>4.62620281273131</v>
      </c>
      <c r="F22" s="35">
        <f t="shared" si="0"/>
        <v>-500</v>
      </c>
      <c r="G22" s="46">
        <f t="shared" si="1"/>
        <v>-0.05</v>
      </c>
      <c r="H22" s="69">
        <f t="shared" si="2"/>
        <v>0</v>
      </c>
    </row>
    <row r="23" spans="1:8">
      <c r="A23" s="64">
        <v>44287</v>
      </c>
      <c r="B23" s="40" t="s">
        <v>145</v>
      </c>
      <c r="C23" s="35" t="s">
        <v>178</v>
      </c>
      <c r="D23" s="35">
        <v>3.16</v>
      </c>
      <c r="E23" s="49">
        <v>150.60240963855424</v>
      </c>
      <c r="F23" s="49">
        <f t="shared" ref="F23:F42" si="3">D23*E23</f>
        <v>475.9036144578314</v>
      </c>
      <c r="G23" s="46">
        <f t="shared" si="1"/>
        <v>4.7590361445783137E-2</v>
      </c>
      <c r="H23" s="69">
        <f t="shared" si="2"/>
        <v>475.9036144578314</v>
      </c>
    </row>
    <row r="24" spans="1:8">
      <c r="A24" s="64">
        <v>44287</v>
      </c>
      <c r="B24" s="40" t="s">
        <v>145</v>
      </c>
      <c r="C24" s="35" t="s">
        <v>206</v>
      </c>
      <c r="D24" s="35">
        <v>69.41</v>
      </c>
      <c r="E24" s="49">
        <v>7.4327337594767364</v>
      </c>
      <c r="F24" s="49">
        <f t="shared" si="3"/>
        <v>515.9060502452802</v>
      </c>
      <c r="G24" s="46">
        <f t="shared" si="1"/>
        <v>5.1590605024528023E-2</v>
      </c>
      <c r="H24" s="69">
        <f t="shared" si="2"/>
        <v>991.80966470311159</v>
      </c>
    </row>
    <row r="25" spans="1:8">
      <c r="A25" s="64">
        <v>44287</v>
      </c>
      <c r="B25" s="40" t="s">
        <v>145</v>
      </c>
      <c r="C25" s="35" t="s">
        <v>207</v>
      </c>
      <c r="D25" s="35">
        <v>545.04999999999995</v>
      </c>
      <c r="E25" s="49">
        <v>0.94973977130266296</v>
      </c>
      <c r="F25" s="49">
        <f t="shared" si="3"/>
        <v>517.65566234851644</v>
      </c>
      <c r="G25" s="46">
        <f t="shared" si="1"/>
        <v>5.1765566234851644E-2</v>
      </c>
      <c r="H25" s="69">
        <f t="shared" si="2"/>
        <v>1509.465327051628</v>
      </c>
    </row>
    <row r="26" spans="1:8">
      <c r="A26" s="64">
        <v>44287</v>
      </c>
      <c r="B26" s="40" t="s">
        <v>145</v>
      </c>
      <c r="C26" s="35" t="s">
        <v>208</v>
      </c>
      <c r="D26" s="35">
        <v>107.25</v>
      </c>
      <c r="E26" s="49">
        <v>5.4478099803878841</v>
      </c>
      <c r="F26" s="49">
        <f t="shared" si="3"/>
        <v>584.27762039660058</v>
      </c>
      <c r="G26" s="46">
        <f t="shared" si="1"/>
        <v>5.8427762039660061E-2</v>
      </c>
      <c r="H26" s="69">
        <f t="shared" si="2"/>
        <v>2093.7429474482287</v>
      </c>
    </row>
    <row r="27" spans="1:8">
      <c r="A27" s="64">
        <v>44287</v>
      </c>
      <c r="B27" s="40" t="s">
        <v>145</v>
      </c>
      <c r="C27" s="35" t="s">
        <v>209</v>
      </c>
      <c r="D27" s="35">
        <v>48.48</v>
      </c>
      <c r="E27" s="49">
        <v>21.240441801189466</v>
      </c>
      <c r="F27" s="49">
        <f t="shared" si="3"/>
        <v>1029.7366185216652</v>
      </c>
      <c r="G27" s="46">
        <f t="shared" si="1"/>
        <v>0.10297366185216651</v>
      </c>
      <c r="H27" s="69">
        <f t="shared" si="2"/>
        <v>3123.4795659698939</v>
      </c>
    </row>
    <row r="28" spans="1:8">
      <c r="A28" s="64">
        <v>44287</v>
      </c>
      <c r="B28" s="40" t="s">
        <v>145</v>
      </c>
      <c r="C28" s="35" t="s">
        <v>210</v>
      </c>
      <c r="D28" s="35">
        <v>5.26</v>
      </c>
      <c r="E28" s="49">
        <v>74.96251874062969</v>
      </c>
      <c r="F28" s="49">
        <f t="shared" si="3"/>
        <v>394.30284857571218</v>
      </c>
      <c r="G28" s="46">
        <f t="shared" si="1"/>
        <v>3.9430284857571218E-2</v>
      </c>
      <c r="H28" s="69">
        <f t="shared" si="2"/>
        <v>3517.7824145456061</v>
      </c>
    </row>
    <row r="29" spans="1:8">
      <c r="A29" s="64">
        <v>44287</v>
      </c>
      <c r="B29" s="40" t="s">
        <v>145</v>
      </c>
      <c r="C29" s="35" t="s">
        <v>211</v>
      </c>
      <c r="D29" s="35">
        <v>82.27</v>
      </c>
      <c r="E29" s="49">
        <v>9.5565749235473998</v>
      </c>
      <c r="F29" s="49">
        <f t="shared" si="3"/>
        <v>786.21941896024452</v>
      </c>
      <c r="G29" s="46">
        <f t="shared" si="1"/>
        <v>7.862194189602445E-2</v>
      </c>
      <c r="H29" s="69">
        <f t="shared" si="2"/>
        <v>4304.0018335058503</v>
      </c>
    </row>
    <row r="30" spans="1:8">
      <c r="A30" s="64">
        <v>44287</v>
      </c>
      <c r="B30" s="40" t="s">
        <v>145</v>
      </c>
      <c r="C30" s="35" t="s">
        <v>212</v>
      </c>
      <c r="D30" s="35">
        <v>42.43</v>
      </c>
      <c r="E30" s="49">
        <v>11.789672247111531</v>
      </c>
      <c r="F30" s="49">
        <f t="shared" si="3"/>
        <v>500.23579344494226</v>
      </c>
      <c r="G30" s="46">
        <f t="shared" si="1"/>
        <v>5.0023579344494223E-2</v>
      </c>
      <c r="H30" s="69">
        <f t="shared" si="2"/>
        <v>4804.2376269507922</v>
      </c>
    </row>
    <row r="31" spans="1:8">
      <c r="A31" s="64">
        <v>44287</v>
      </c>
      <c r="B31" s="40" t="s">
        <v>145</v>
      </c>
      <c r="C31" s="35" t="s">
        <v>193</v>
      </c>
      <c r="D31" s="35">
        <v>17.12</v>
      </c>
      <c r="E31" s="49">
        <v>28.735632183908049</v>
      </c>
      <c r="F31" s="49">
        <f t="shared" si="3"/>
        <v>491.95402298850581</v>
      </c>
      <c r="G31" s="46">
        <f t="shared" si="1"/>
        <v>4.9195402298850582E-2</v>
      </c>
      <c r="H31" s="69">
        <f t="shared" si="2"/>
        <v>5296.1916499392983</v>
      </c>
    </row>
    <row r="32" spans="1:8">
      <c r="A32" s="64">
        <v>44287</v>
      </c>
      <c r="B32" s="40" t="s">
        <v>145</v>
      </c>
      <c r="C32" s="35" t="s">
        <v>213</v>
      </c>
      <c r="D32" s="35">
        <v>240.95</v>
      </c>
      <c r="E32" s="49">
        <v>2.3515026101678975</v>
      </c>
      <c r="F32" s="49">
        <f t="shared" si="3"/>
        <v>566.59455391995493</v>
      </c>
      <c r="G32" s="46">
        <f t="shared" si="1"/>
        <v>5.6659455391995496E-2</v>
      </c>
      <c r="H32" s="69">
        <f t="shared" si="2"/>
        <v>5862.786203859253</v>
      </c>
    </row>
    <row r="33" spans="1:8">
      <c r="A33" s="64">
        <v>44287</v>
      </c>
      <c r="B33" s="40" t="s">
        <v>145</v>
      </c>
      <c r="C33" s="35" t="s">
        <v>214</v>
      </c>
      <c r="D33" s="35">
        <v>54.99</v>
      </c>
      <c r="E33" s="49">
        <v>10.638297872340425</v>
      </c>
      <c r="F33" s="49">
        <f t="shared" si="3"/>
        <v>585</v>
      </c>
      <c r="G33" s="46">
        <f t="shared" si="1"/>
        <v>5.8500000000000003E-2</v>
      </c>
      <c r="H33" s="69">
        <f t="shared" si="2"/>
        <v>6447.786203859253</v>
      </c>
    </row>
    <row r="34" spans="1:8">
      <c r="A34" s="64">
        <v>44287</v>
      </c>
      <c r="B34" s="40" t="s">
        <v>145</v>
      </c>
      <c r="C34" s="35" t="s">
        <v>215</v>
      </c>
      <c r="D34" s="35">
        <v>6.44</v>
      </c>
      <c r="E34" s="49">
        <v>77.881619937694708</v>
      </c>
      <c r="F34" s="49">
        <f t="shared" si="3"/>
        <v>501.55763239875392</v>
      </c>
      <c r="G34" s="46">
        <f t="shared" si="1"/>
        <v>5.0155763239875389E-2</v>
      </c>
      <c r="H34" s="69">
        <f t="shared" si="2"/>
        <v>6949.3438362580073</v>
      </c>
    </row>
    <row r="35" spans="1:8">
      <c r="A35" s="64">
        <v>44287</v>
      </c>
      <c r="B35" s="40" t="s">
        <v>145</v>
      </c>
      <c r="C35" s="35" t="s">
        <v>216</v>
      </c>
      <c r="D35" s="35">
        <v>33.76</v>
      </c>
      <c r="E35" s="49">
        <v>18.422991893883566</v>
      </c>
      <c r="F35" s="49">
        <f t="shared" si="3"/>
        <v>621.96020633750913</v>
      </c>
      <c r="G35" s="46">
        <f t="shared" si="1"/>
        <v>6.2196020633750911E-2</v>
      </c>
      <c r="H35" s="69">
        <f t="shared" si="2"/>
        <v>7571.3040425955169</v>
      </c>
    </row>
    <row r="36" spans="1:8">
      <c r="A36" s="64">
        <v>44287</v>
      </c>
      <c r="B36" s="40" t="s">
        <v>145</v>
      </c>
      <c r="C36" s="35" t="s">
        <v>217</v>
      </c>
      <c r="D36" s="35">
        <v>65.78</v>
      </c>
      <c r="E36" s="49">
        <v>10.212418300653594</v>
      </c>
      <c r="F36" s="49">
        <f t="shared" si="3"/>
        <v>671.77287581699341</v>
      </c>
      <c r="G36" s="46">
        <f t="shared" si="1"/>
        <v>6.7177287581699344E-2</v>
      </c>
      <c r="H36" s="69">
        <f t="shared" si="2"/>
        <v>8243.0769184125111</v>
      </c>
    </row>
    <row r="37" spans="1:8">
      <c r="A37" s="64">
        <v>44287</v>
      </c>
      <c r="B37" s="40" t="s">
        <v>145</v>
      </c>
      <c r="C37" s="35" t="s">
        <v>218</v>
      </c>
      <c r="D37" s="35">
        <v>436.2</v>
      </c>
      <c r="E37" s="49">
        <v>1.1967448539971277</v>
      </c>
      <c r="F37" s="49">
        <f t="shared" si="3"/>
        <v>522.02010531354711</v>
      </c>
      <c r="G37" s="46">
        <f t="shared" si="1"/>
        <v>5.220201053135471E-2</v>
      </c>
      <c r="H37" s="69">
        <f t="shared" si="2"/>
        <v>8765.097023726059</v>
      </c>
    </row>
    <row r="38" spans="1:8">
      <c r="A38" s="64">
        <v>44287</v>
      </c>
      <c r="B38" s="40" t="s">
        <v>145</v>
      </c>
      <c r="C38" s="35" t="s">
        <v>175</v>
      </c>
      <c r="D38" s="35">
        <v>16.3</v>
      </c>
      <c r="E38" s="49">
        <v>26.867275658248253</v>
      </c>
      <c r="F38" s="49">
        <f t="shared" si="3"/>
        <v>437.93659322944654</v>
      </c>
      <c r="G38" s="46">
        <f t="shared" si="1"/>
        <v>4.3793659322944656E-2</v>
      </c>
      <c r="H38" s="69">
        <f t="shared" si="2"/>
        <v>9203.0336169555048</v>
      </c>
    </row>
    <row r="39" spans="1:8">
      <c r="A39" s="64">
        <v>44287</v>
      </c>
      <c r="B39" s="40" t="s">
        <v>145</v>
      </c>
      <c r="C39" s="35" t="s">
        <v>196</v>
      </c>
      <c r="D39" s="35">
        <v>18.43</v>
      </c>
      <c r="E39" s="49">
        <v>29.550827423167846</v>
      </c>
      <c r="F39" s="49">
        <f t="shared" si="3"/>
        <v>544.62174940898342</v>
      </c>
      <c r="G39" s="46">
        <f t="shared" si="1"/>
        <v>5.446217494089834E-2</v>
      </c>
      <c r="H39" s="69">
        <f t="shared" si="2"/>
        <v>9747.6553663644881</v>
      </c>
    </row>
    <row r="40" spans="1:8">
      <c r="A40" s="64">
        <v>44287</v>
      </c>
      <c r="B40" s="40" t="s">
        <v>145</v>
      </c>
      <c r="C40" s="35" t="s">
        <v>219</v>
      </c>
      <c r="D40" s="35">
        <v>29</v>
      </c>
      <c r="E40" s="49">
        <v>20.080321285140563</v>
      </c>
      <c r="F40" s="49">
        <f t="shared" si="3"/>
        <v>582.32931726907634</v>
      </c>
      <c r="G40" s="46">
        <f t="shared" si="1"/>
        <v>5.8232931726907633E-2</v>
      </c>
      <c r="H40" s="69">
        <f t="shared" si="2"/>
        <v>10329.984683633564</v>
      </c>
    </row>
    <row r="41" spans="1:8">
      <c r="A41" s="64">
        <v>44287</v>
      </c>
      <c r="B41" s="40" t="s">
        <v>145</v>
      </c>
      <c r="C41" s="35" t="s">
        <v>220</v>
      </c>
      <c r="D41" s="35">
        <v>34.76</v>
      </c>
      <c r="E41" s="49">
        <v>17.470300489168412</v>
      </c>
      <c r="F41" s="49">
        <f t="shared" si="3"/>
        <v>607.26764500349395</v>
      </c>
      <c r="G41" s="46">
        <f t="shared" si="1"/>
        <v>6.0726764500349396E-2</v>
      </c>
      <c r="H41" s="69">
        <f t="shared" si="2"/>
        <v>10937.252328637058</v>
      </c>
    </row>
    <row r="42" spans="1:8">
      <c r="A42" s="64">
        <v>44287</v>
      </c>
      <c r="B42" s="40" t="s">
        <v>145</v>
      </c>
      <c r="C42" s="35" t="s">
        <v>221</v>
      </c>
      <c r="D42" s="35">
        <v>135.81</v>
      </c>
      <c r="E42" s="49">
        <v>4.62620281273131</v>
      </c>
      <c r="F42" s="49">
        <f t="shared" si="3"/>
        <v>628.2846039970392</v>
      </c>
      <c r="G42" s="46">
        <f t="shared" si="1"/>
        <v>6.2828460399703925E-2</v>
      </c>
      <c r="H42" s="90">
        <f t="shared" si="2"/>
        <v>11565.536932634097</v>
      </c>
    </row>
    <row r="43" spans="1:8">
      <c r="A43" s="64">
        <v>44287</v>
      </c>
      <c r="B43" s="40" t="s">
        <v>144</v>
      </c>
      <c r="C43" s="44" t="s">
        <v>189</v>
      </c>
      <c r="D43" s="35">
        <v>19.2</v>
      </c>
      <c r="E43" s="49">
        <f t="shared" ref="E43:E62" si="4">($H$42*0.05)/D43</f>
        <v>30.118585762067962</v>
      </c>
      <c r="F43" s="49">
        <f t="shared" ref="F43:F62" si="5">-E43*D43</f>
        <v>-578.27684663170487</v>
      </c>
      <c r="G43" s="46">
        <f t="shared" si="1"/>
        <v>-5.7827684663170488E-2</v>
      </c>
      <c r="H43" s="69">
        <f t="shared" si="2"/>
        <v>10987.260086002392</v>
      </c>
    </row>
    <row r="44" spans="1:8">
      <c r="A44" s="64">
        <v>44287</v>
      </c>
      <c r="B44" s="40" t="s">
        <v>144</v>
      </c>
      <c r="C44" s="44" t="s">
        <v>222</v>
      </c>
      <c r="D44" s="35">
        <v>94.37</v>
      </c>
      <c r="E44" s="49">
        <f t="shared" si="4"/>
        <v>6.1277614351139649</v>
      </c>
      <c r="F44" s="49">
        <f t="shared" si="5"/>
        <v>-578.27684663170487</v>
      </c>
      <c r="G44" s="46">
        <f t="shared" si="1"/>
        <v>-5.7827684663170488E-2</v>
      </c>
      <c r="H44" s="69">
        <f t="shared" si="2"/>
        <v>10408.983239370687</v>
      </c>
    </row>
    <row r="45" spans="1:8">
      <c r="A45" s="64">
        <v>44287</v>
      </c>
      <c r="B45" s="40" t="s">
        <v>144</v>
      </c>
      <c r="C45" s="44" t="s">
        <v>219</v>
      </c>
      <c r="D45" s="35">
        <v>29</v>
      </c>
      <c r="E45" s="49">
        <f t="shared" si="4"/>
        <v>19.94058091833465</v>
      </c>
      <c r="F45" s="49">
        <f t="shared" si="5"/>
        <v>-578.27684663170487</v>
      </c>
      <c r="G45" s="46">
        <f t="shared" si="1"/>
        <v>-5.7827684663170488E-2</v>
      </c>
      <c r="H45" s="69">
        <f t="shared" si="2"/>
        <v>9830.7063927389827</v>
      </c>
    </row>
    <row r="46" spans="1:8">
      <c r="A46" s="64">
        <v>44287</v>
      </c>
      <c r="B46" s="40" t="s">
        <v>144</v>
      </c>
      <c r="C46" s="44" t="s">
        <v>194</v>
      </c>
      <c r="D46" s="35">
        <v>75.19</v>
      </c>
      <c r="E46" s="49">
        <f t="shared" si="4"/>
        <v>7.6908744065926973</v>
      </c>
      <c r="F46" s="49">
        <f t="shared" si="5"/>
        <v>-578.27684663170487</v>
      </c>
      <c r="G46" s="46">
        <f t="shared" si="1"/>
        <v>-5.7827684663170488E-2</v>
      </c>
      <c r="H46" s="69">
        <f t="shared" si="2"/>
        <v>9252.4295461072779</v>
      </c>
    </row>
    <row r="47" spans="1:8">
      <c r="A47" s="64">
        <v>44287</v>
      </c>
      <c r="B47" s="40" t="s">
        <v>144</v>
      </c>
      <c r="C47" s="44" t="s">
        <v>201</v>
      </c>
      <c r="D47" s="35">
        <v>36.11</v>
      </c>
      <c r="E47" s="49">
        <f t="shared" si="4"/>
        <v>16.014313116358483</v>
      </c>
      <c r="F47" s="49">
        <f t="shared" si="5"/>
        <v>-578.27684663170487</v>
      </c>
      <c r="G47" s="46">
        <f t="shared" si="1"/>
        <v>-5.7827684663170488E-2</v>
      </c>
      <c r="H47" s="69">
        <f t="shared" si="2"/>
        <v>8674.1526994755732</v>
      </c>
    </row>
    <row r="48" spans="1:8">
      <c r="A48" s="64">
        <v>44287</v>
      </c>
      <c r="B48" s="40" t="s">
        <v>144</v>
      </c>
      <c r="C48" s="44" t="s">
        <v>223</v>
      </c>
      <c r="D48" s="35">
        <v>25</v>
      </c>
      <c r="E48" s="49">
        <f t="shared" si="4"/>
        <v>23.131073865268196</v>
      </c>
      <c r="F48" s="49">
        <f t="shared" si="5"/>
        <v>-578.27684663170487</v>
      </c>
      <c r="G48" s="46">
        <f t="shared" si="1"/>
        <v>-5.7827684663170488E-2</v>
      </c>
      <c r="H48" s="69">
        <f t="shared" si="2"/>
        <v>8095.8758528438684</v>
      </c>
    </row>
    <row r="49" spans="1:8">
      <c r="A49" s="64">
        <v>44287</v>
      </c>
      <c r="B49" s="40" t="s">
        <v>144</v>
      </c>
      <c r="C49" s="44" t="s">
        <v>216</v>
      </c>
      <c r="D49" s="35">
        <v>33.76</v>
      </c>
      <c r="E49" s="49">
        <f t="shared" si="4"/>
        <v>17.129053513972302</v>
      </c>
      <c r="F49" s="49">
        <f t="shared" si="5"/>
        <v>-578.27684663170487</v>
      </c>
      <c r="G49" s="46">
        <f t="shared" si="1"/>
        <v>-5.7827684663170488E-2</v>
      </c>
      <c r="H49" s="69">
        <f t="shared" si="2"/>
        <v>7517.5990062121637</v>
      </c>
    </row>
    <row r="50" spans="1:8">
      <c r="A50" s="64">
        <v>44287</v>
      </c>
      <c r="B50" s="40" t="s">
        <v>144</v>
      </c>
      <c r="C50" s="44" t="s">
        <v>211</v>
      </c>
      <c r="D50" s="35">
        <v>82.27</v>
      </c>
      <c r="E50" s="49">
        <f t="shared" si="4"/>
        <v>7.0290123572590844</v>
      </c>
      <c r="F50" s="49">
        <f t="shared" si="5"/>
        <v>-578.27684663170487</v>
      </c>
      <c r="G50" s="46">
        <f t="shared" si="1"/>
        <v>-5.7827684663170488E-2</v>
      </c>
      <c r="H50" s="69">
        <f t="shared" si="2"/>
        <v>6939.3221595804589</v>
      </c>
    </row>
    <row r="51" spans="1:8">
      <c r="A51" s="64">
        <v>44287</v>
      </c>
      <c r="B51" s="40" t="s">
        <v>144</v>
      </c>
      <c r="C51" s="44" t="s">
        <v>224</v>
      </c>
      <c r="D51" s="35">
        <v>38.96</v>
      </c>
      <c r="E51" s="49">
        <f t="shared" si="4"/>
        <v>14.842834872477024</v>
      </c>
      <c r="F51" s="49">
        <f t="shared" si="5"/>
        <v>-578.27684663170487</v>
      </c>
      <c r="G51" s="46">
        <f t="shared" si="1"/>
        <v>-5.7827684663170488E-2</v>
      </c>
      <c r="H51" s="69">
        <f t="shared" si="2"/>
        <v>6361.0453129487541</v>
      </c>
    </row>
    <row r="52" spans="1:8">
      <c r="A52" s="64">
        <v>44287</v>
      </c>
      <c r="B52" s="40" t="s">
        <v>144</v>
      </c>
      <c r="C52" s="44" t="s">
        <v>225</v>
      </c>
      <c r="D52" s="35">
        <v>19.739999999999998</v>
      </c>
      <c r="E52" s="49">
        <f t="shared" si="4"/>
        <v>29.294673081646653</v>
      </c>
      <c r="F52" s="49">
        <f t="shared" si="5"/>
        <v>-578.27684663170487</v>
      </c>
      <c r="G52" s="46">
        <f t="shared" si="1"/>
        <v>-5.7827684663170488E-2</v>
      </c>
      <c r="H52" s="69">
        <f t="shared" si="2"/>
        <v>5782.7684663170494</v>
      </c>
    </row>
    <row r="53" spans="1:8">
      <c r="A53" s="64">
        <v>44287</v>
      </c>
      <c r="B53" s="40" t="s">
        <v>144</v>
      </c>
      <c r="C53" s="44" t="s">
        <v>226</v>
      </c>
      <c r="D53" s="35">
        <v>75.86</v>
      </c>
      <c r="E53" s="49">
        <f t="shared" si="4"/>
        <v>7.622948149640191</v>
      </c>
      <c r="F53" s="49">
        <f t="shared" si="5"/>
        <v>-578.27684663170487</v>
      </c>
      <c r="G53" s="46">
        <f t="shared" si="1"/>
        <v>-5.7827684663170488E-2</v>
      </c>
      <c r="H53" s="69">
        <f t="shared" si="2"/>
        <v>5204.4916196853446</v>
      </c>
    </row>
    <row r="54" spans="1:8">
      <c r="A54" s="64">
        <v>44287</v>
      </c>
      <c r="B54" s="40" t="s">
        <v>144</v>
      </c>
      <c r="C54" s="44" t="s">
        <v>227</v>
      </c>
      <c r="D54" s="35">
        <v>12.29</v>
      </c>
      <c r="E54" s="49">
        <f t="shared" si="4"/>
        <v>47.052631947250198</v>
      </c>
      <c r="F54" s="49">
        <f t="shared" si="5"/>
        <v>-578.27684663170487</v>
      </c>
      <c r="G54" s="46">
        <f t="shared" si="1"/>
        <v>-5.7827684663170488E-2</v>
      </c>
      <c r="H54" s="69">
        <f t="shared" si="2"/>
        <v>4626.2147730536399</v>
      </c>
    </row>
    <row r="55" spans="1:8">
      <c r="A55" s="64">
        <v>44287</v>
      </c>
      <c r="B55" s="40" t="s">
        <v>144</v>
      </c>
      <c r="C55" s="44" t="s">
        <v>209</v>
      </c>
      <c r="D55" s="35">
        <v>48.48</v>
      </c>
      <c r="E55" s="49">
        <f t="shared" si="4"/>
        <v>11.928152777056619</v>
      </c>
      <c r="F55" s="49">
        <f t="shared" si="5"/>
        <v>-578.27684663170487</v>
      </c>
      <c r="G55" s="46">
        <f t="shared" si="1"/>
        <v>-5.7827684663170488E-2</v>
      </c>
      <c r="H55" s="69">
        <f t="shared" si="2"/>
        <v>4047.9379264219351</v>
      </c>
    </row>
    <row r="56" spans="1:8">
      <c r="A56" s="64">
        <v>44287</v>
      </c>
      <c r="B56" s="40" t="s">
        <v>144</v>
      </c>
      <c r="C56" s="44" t="s">
        <v>198</v>
      </c>
      <c r="D56" s="35">
        <v>38.25</v>
      </c>
      <c r="E56" s="49">
        <f t="shared" si="4"/>
        <v>15.118348931547839</v>
      </c>
      <c r="F56" s="49">
        <f t="shared" si="5"/>
        <v>-578.27684663170487</v>
      </c>
      <c r="G56" s="46">
        <f t="shared" si="1"/>
        <v>-5.7827684663170488E-2</v>
      </c>
      <c r="H56" s="69">
        <f t="shared" si="2"/>
        <v>3469.6610797902304</v>
      </c>
    </row>
    <row r="57" spans="1:8">
      <c r="A57" s="64">
        <v>44287</v>
      </c>
      <c r="B57" s="40" t="s">
        <v>144</v>
      </c>
      <c r="C57" s="44" t="s">
        <v>228</v>
      </c>
      <c r="D57" s="35">
        <v>13.29</v>
      </c>
      <c r="E57" s="49">
        <f t="shared" si="4"/>
        <v>43.512178076125274</v>
      </c>
      <c r="F57" s="49">
        <f t="shared" si="5"/>
        <v>-578.27684663170487</v>
      </c>
      <c r="G57" s="46">
        <f t="shared" si="1"/>
        <v>-5.7827684663170488E-2</v>
      </c>
      <c r="H57" s="69">
        <f t="shared" si="2"/>
        <v>2891.3842331585256</v>
      </c>
    </row>
    <row r="58" spans="1:8">
      <c r="A58" s="64">
        <v>44287</v>
      </c>
      <c r="B58" s="40" t="s">
        <v>144</v>
      </c>
      <c r="C58" s="44" t="s">
        <v>229</v>
      </c>
      <c r="D58" s="35">
        <v>56.83</v>
      </c>
      <c r="E58" s="49">
        <f t="shared" si="4"/>
        <v>10.17555598507311</v>
      </c>
      <c r="F58" s="49">
        <f t="shared" si="5"/>
        <v>-578.27684663170487</v>
      </c>
      <c r="G58" s="46">
        <f t="shared" si="1"/>
        <v>-5.7827684663170488E-2</v>
      </c>
      <c r="H58" s="69">
        <f t="shared" si="2"/>
        <v>2313.1073865268208</v>
      </c>
    </row>
    <row r="59" spans="1:8">
      <c r="A59" s="64">
        <v>44287</v>
      </c>
      <c r="B59" s="40" t="s">
        <v>144</v>
      </c>
      <c r="C59" s="44" t="s">
        <v>230</v>
      </c>
      <c r="D59" s="35">
        <v>32.86</v>
      </c>
      <c r="E59" s="49">
        <f t="shared" si="4"/>
        <v>17.598199836631309</v>
      </c>
      <c r="F59" s="49">
        <f t="shared" si="5"/>
        <v>-578.27684663170476</v>
      </c>
      <c r="G59" s="46">
        <f t="shared" si="1"/>
        <v>-5.7827684663170474E-2</v>
      </c>
      <c r="H59" s="69">
        <f t="shared" si="2"/>
        <v>1734.8305398951161</v>
      </c>
    </row>
    <row r="60" spans="1:8">
      <c r="A60" s="64">
        <v>44287</v>
      </c>
      <c r="B60" s="40" t="s">
        <v>144</v>
      </c>
      <c r="C60" s="44" t="s">
        <v>196</v>
      </c>
      <c r="D60" s="35">
        <v>18.43</v>
      </c>
      <c r="E60" s="49">
        <f t="shared" si="4"/>
        <v>31.376931450445191</v>
      </c>
      <c r="F60" s="49">
        <f t="shared" si="5"/>
        <v>-578.27684663170487</v>
      </c>
      <c r="G60" s="46">
        <f t="shared" si="1"/>
        <v>-5.7827684663170488E-2</v>
      </c>
      <c r="H60" s="69">
        <f t="shared" si="2"/>
        <v>1156.5536932634113</v>
      </c>
    </row>
    <row r="61" spans="1:8">
      <c r="A61" s="64">
        <v>44287</v>
      </c>
      <c r="B61" s="40" t="s">
        <v>144</v>
      </c>
      <c r="C61" s="44" t="s">
        <v>217</v>
      </c>
      <c r="D61" s="35">
        <v>65.78</v>
      </c>
      <c r="E61" s="49">
        <f t="shared" si="4"/>
        <v>8.7910739834555311</v>
      </c>
      <c r="F61" s="49">
        <f t="shared" si="5"/>
        <v>-578.27684663170487</v>
      </c>
      <c r="G61" s="46">
        <f t="shared" si="1"/>
        <v>-5.7827684663170488E-2</v>
      </c>
      <c r="H61" s="69">
        <f t="shared" si="2"/>
        <v>578.27684663170646</v>
      </c>
    </row>
    <row r="62" spans="1:8">
      <c r="A62" s="64">
        <v>44287</v>
      </c>
      <c r="B62" s="40" t="s">
        <v>144</v>
      </c>
      <c r="C62" s="44" t="s">
        <v>221</v>
      </c>
      <c r="D62" s="35">
        <v>135.81</v>
      </c>
      <c r="E62" s="49">
        <f t="shared" si="4"/>
        <v>4.2579842915227513</v>
      </c>
      <c r="F62" s="49">
        <f t="shared" si="5"/>
        <v>-578.27684663170487</v>
      </c>
      <c r="G62" s="46">
        <f t="shared" si="1"/>
        <v>-5.7827684663170488E-2</v>
      </c>
      <c r="H62" s="69">
        <f t="shared" si="2"/>
        <v>1.5916157281026244E-12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9900"/>
    <outlinePr summaryBelow="0" summaryRight="0"/>
  </sheetPr>
  <dimension ref="A1:Y1005"/>
  <sheetViews>
    <sheetView workbookViewId="0"/>
  </sheetViews>
  <sheetFormatPr defaultColWidth="14.42578125" defaultRowHeight="15.75" customHeight="1"/>
  <cols>
    <col min="1" max="1" width="19.42578125" customWidth="1"/>
    <col min="2" max="2" width="29.140625" customWidth="1"/>
    <col min="4" max="4" width="17.28515625" customWidth="1"/>
    <col min="5" max="5" width="12.5703125" customWidth="1"/>
    <col min="7" max="7" width="9" customWidth="1"/>
    <col min="12" max="12" width="10.28515625" customWidth="1"/>
  </cols>
  <sheetData>
    <row r="1" spans="1:25">
      <c r="A1" s="3"/>
      <c r="B1" s="3"/>
      <c r="C1" s="113"/>
      <c r="D1" s="113"/>
      <c r="E1" s="113"/>
      <c r="F1" s="113"/>
      <c r="G1" s="3"/>
      <c r="H1" s="113"/>
      <c r="I1" s="113"/>
      <c r="J1" s="113"/>
      <c r="K1" s="113"/>
      <c r="L1" s="3"/>
      <c r="M1" s="113"/>
      <c r="N1" s="113"/>
      <c r="O1" s="113"/>
      <c r="P1" s="113"/>
      <c r="Q1" s="3"/>
      <c r="R1" s="3"/>
      <c r="S1" s="3"/>
      <c r="T1" s="3"/>
      <c r="U1" s="3"/>
      <c r="V1" s="3"/>
      <c r="W1" s="3"/>
      <c r="X1" s="3"/>
      <c r="Y1" s="3"/>
    </row>
    <row r="2" spans="1:25">
      <c r="A2" s="114" t="s">
        <v>231</v>
      </c>
      <c r="B2" s="3"/>
      <c r="C2" s="130" t="s">
        <v>232</v>
      </c>
      <c r="D2" s="131"/>
      <c r="E2" s="131"/>
      <c r="F2" s="132"/>
      <c r="G2" s="3"/>
      <c r="H2" s="130" t="s">
        <v>233</v>
      </c>
      <c r="I2" s="131"/>
      <c r="J2" s="131"/>
      <c r="K2" s="132"/>
      <c r="L2" s="3"/>
      <c r="M2" s="130" t="s">
        <v>234</v>
      </c>
      <c r="N2" s="131"/>
      <c r="O2" s="131"/>
      <c r="P2" s="132"/>
      <c r="Q2" s="3"/>
      <c r="R2" s="3"/>
      <c r="S2" s="3"/>
      <c r="T2" s="3"/>
      <c r="U2" s="3"/>
      <c r="V2" s="3"/>
      <c r="W2" s="3"/>
      <c r="X2" s="3"/>
      <c r="Y2" s="3"/>
    </row>
    <row r="3" spans="1:25">
      <c r="A3" s="3"/>
      <c r="B3" s="3"/>
      <c r="C3" s="115" t="s">
        <v>138</v>
      </c>
      <c r="D3" s="115" t="s">
        <v>235</v>
      </c>
      <c r="E3" s="115" t="s">
        <v>236</v>
      </c>
      <c r="F3" s="115" t="s">
        <v>237</v>
      </c>
      <c r="G3" s="3"/>
      <c r="H3" s="115" t="s">
        <v>138</v>
      </c>
      <c r="I3" s="115" t="s">
        <v>235</v>
      </c>
      <c r="J3" s="115" t="s">
        <v>236</v>
      </c>
      <c r="K3" s="115" t="s">
        <v>237</v>
      </c>
      <c r="L3" s="3"/>
      <c r="M3" s="115" t="s">
        <v>138</v>
      </c>
      <c r="N3" s="115" t="s">
        <v>235</v>
      </c>
      <c r="O3" s="115" t="s">
        <v>236</v>
      </c>
      <c r="P3" s="115" t="s">
        <v>237</v>
      </c>
      <c r="Q3" s="3"/>
      <c r="R3" s="3"/>
      <c r="S3" s="3"/>
      <c r="T3" s="3"/>
      <c r="U3" s="3"/>
      <c r="V3" s="3"/>
      <c r="W3" s="3"/>
      <c r="X3" s="3"/>
      <c r="Y3" s="3"/>
    </row>
    <row r="4" spans="1:25">
      <c r="A4" s="4" t="s">
        <v>238</v>
      </c>
      <c r="B4" s="4" t="s">
        <v>239</v>
      </c>
      <c r="C4" s="5">
        <v>10.561999999999999</v>
      </c>
      <c r="D4" s="5">
        <v>0.17799999999999999</v>
      </c>
      <c r="E4" s="5">
        <v>0.14799999999999999</v>
      </c>
      <c r="F4" s="5">
        <v>0.312</v>
      </c>
      <c r="G4" s="5">
        <v>0.55200000000000005</v>
      </c>
      <c r="H4" s="5">
        <v>8.5239999999999991</v>
      </c>
      <c r="I4" s="5">
        <v>0.22800000000000001</v>
      </c>
      <c r="J4" s="5">
        <v>0.14699999999999999</v>
      </c>
      <c r="K4" s="5">
        <v>0.151</v>
      </c>
      <c r="L4" s="5">
        <v>0.33700000000000002</v>
      </c>
      <c r="M4" s="5">
        <v>2.698</v>
      </c>
      <c r="N4" s="5">
        <v>0.24399999999999999</v>
      </c>
      <c r="O4" s="5">
        <v>0.156</v>
      </c>
      <c r="P4" s="5">
        <v>0.151</v>
      </c>
      <c r="Q4" s="5">
        <v>0.33700000000000002</v>
      </c>
      <c r="R4" s="3"/>
      <c r="S4" s="3"/>
      <c r="T4" s="3"/>
      <c r="U4" s="3"/>
      <c r="V4" s="3"/>
      <c r="W4" s="3"/>
      <c r="X4" s="3"/>
      <c r="Y4" s="3"/>
    </row>
    <row r="5" spans="1:25">
      <c r="A5" s="4" t="s">
        <v>240</v>
      </c>
      <c r="B5" s="4" t="s">
        <v>241</v>
      </c>
      <c r="C5" s="116">
        <v>10.516</v>
      </c>
      <c r="D5" s="116">
        <v>0.17699999999999999</v>
      </c>
      <c r="E5" s="116">
        <v>0.15</v>
      </c>
      <c r="F5" s="116">
        <v>0.28599999999999998</v>
      </c>
      <c r="G5" s="7"/>
      <c r="H5" s="5">
        <v>8.7390000000000008</v>
      </c>
      <c r="I5" s="5">
        <v>0.23</v>
      </c>
      <c r="J5" s="5">
        <v>0.14899999999999999</v>
      </c>
      <c r="K5" s="5">
        <v>0.159</v>
      </c>
      <c r="L5" s="7"/>
      <c r="M5" s="5">
        <v>2.524</v>
      </c>
      <c r="N5" s="5">
        <v>0.23400000000000001</v>
      </c>
      <c r="O5" s="5">
        <v>0.157</v>
      </c>
      <c r="P5" s="5">
        <v>0.159</v>
      </c>
      <c r="Q5" s="3"/>
      <c r="R5" s="3"/>
      <c r="S5" s="3"/>
      <c r="T5" s="3"/>
      <c r="U5" s="3"/>
      <c r="V5" s="3"/>
      <c r="W5" s="3"/>
      <c r="X5" s="3"/>
      <c r="Y5" s="3"/>
    </row>
    <row r="6" spans="1:25">
      <c r="A6" s="4" t="s">
        <v>242</v>
      </c>
      <c r="B6" s="4" t="s">
        <v>243</v>
      </c>
      <c r="C6" s="116">
        <v>10.645</v>
      </c>
      <c r="D6" s="116">
        <v>0.17799999999999999</v>
      </c>
      <c r="E6" s="116">
        <v>0.15</v>
      </c>
      <c r="F6" s="116">
        <v>0.309</v>
      </c>
      <c r="G6" s="7"/>
      <c r="H6" s="5">
        <v>9.4329999999999998</v>
      </c>
      <c r="I6" s="5">
        <v>0.23799999999999999</v>
      </c>
      <c r="J6" s="5">
        <v>0.14899999999999999</v>
      </c>
      <c r="K6" s="5">
        <v>0.151</v>
      </c>
      <c r="L6" s="7"/>
      <c r="M6" s="5">
        <v>2.681</v>
      </c>
      <c r="N6" s="5">
        <v>0.24299999999999999</v>
      </c>
      <c r="O6" s="5">
        <v>0.158</v>
      </c>
      <c r="P6" s="5">
        <v>0.151</v>
      </c>
      <c r="Q6" s="3"/>
      <c r="R6" s="3"/>
      <c r="S6" s="3"/>
      <c r="T6" s="3"/>
      <c r="U6" s="3"/>
      <c r="V6" s="3"/>
      <c r="W6" s="3"/>
      <c r="X6" s="3"/>
      <c r="Y6" s="3"/>
    </row>
    <row r="7" spans="1:25">
      <c r="A7" s="114" t="s">
        <v>244</v>
      </c>
      <c r="B7" s="114" t="s">
        <v>245</v>
      </c>
      <c r="C7" s="117">
        <v>10.895</v>
      </c>
      <c r="D7" s="117">
        <v>0.18</v>
      </c>
      <c r="E7" s="117">
        <v>0.15</v>
      </c>
      <c r="F7" s="117">
        <v>0.309</v>
      </c>
      <c r="G7" s="118"/>
      <c r="H7" s="117">
        <v>10.286</v>
      </c>
      <c r="I7" s="117">
        <v>0.247</v>
      </c>
      <c r="J7" s="117">
        <v>0.14899999999999999</v>
      </c>
      <c r="K7" s="117">
        <v>0.14799999999999999</v>
      </c>
      <c r="L7" s="118"/>
      <c r="M7" s="117">
        <v>2.9769999999999999</v>
      </c>
      <c r="N7" s="117">
        <v>0.25900000000000001</v>
      </c>
      <c r="O7" s="117">
        <v>0.158</v>
      </c>
      <c r="P7" s="117">
        <v>0.14799999999999999</v>
      </c>
      <c r="Q7" s="3"/>
      <c r="R7" s="3"/>
      <c r="S7" s="3"/>
      <c r="T7" s="3"/>
      <c r="U7" s="3"/>
      <c r="V7" s="3"/>
      <c r="W7" s="3"/>
      <c r="X7" s="3"/>
      <c r="Y7" s="3"/>
    </row>
    <row r="8" spans="1:25">
      <c r="A8" s="4" t="s">
        <v>246</v>
      </c>
      <c r="B8" s="4" t="s">
        <v>247</v>
      </c>
      <c r="C8" s="5">
        <v>9.282</v>
      </c>
      <c r="D8" s="5">
        <v>0.16800000000000001</v>
      </c>
      <c r="E8" s="5">
        <v>0.151</v>
      </c>
      <c r="F8" s="5">
        <v>0.32</v>
      </c>
      <c r="G8" s="7"/>
      <c r="H8" s="5">
        <v>9.827</v>
      </c>
      <c r="I8" s="5">
        <v>0.24199999999999999</v>
      </c>
      <c r="J8" s="5">
        <v>0.15</v>
      </c>
      <c r="K8" s="5">
        <v>0.161</v>
      </c>
      <c r="L8" s="7"/>
      <c r="M8" s="5">
        <v>2.9889999999999999</v>
      </c>
      <c r="N8" s="5">
        <v>0.26</v>
      </c>
      <c r="O8" s="5">
        <v>0.157</v>
      </c>
      <c r="P8" s="5">
        <v>0.161</v>
      </c>
      <c r="Q8" s="3"/>
      <c r="R8" s="3"/>
      <c r="S8" s="3"/>
      <c r="T8" s="3"/>
      <c r="U8" s="3"/>
      <c r="V8" s="3"/>
      <c r="W8" s="3"/>
      <c r="X8" s="3"/>
      <c r="Y8" s="3"/>
    </row>
    <row r="9" spans="1: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>
      <c r="A10" s="4" t="s">
        <v>248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>
      <c r="A11" s="3"/>
      <c r="B11" s="3"/>
      <c r="C11" s="130" t="s">
        <v>232</v>
      </c>
      <c r="D11" s="131"/>
      <c r="E11" s="131"/>
      <c r="F11" s="132"/>
      <c r="G11" s="3"/>
      <c r="H11" s="130" t="s">
        <v>233</v>
      </c>
      <c r="I11" s="131"/>
      <c r="J11" s="131"/>
      <c r="K11" s="132"/>
      <c r="L11" s="3"/>
      <c r="M11" s="130" t="s">
        <v>234</v>
      </c>
      <c r="N11" s="131"/>
      <c r="O11" s="131"/>
      <c r="P11" s="132"/>
      <c r="Q11" s="3"/>
      <c r="R11" s="3"/>
      <c r="S11" s="3"/>
      <c r="T11" s="3"/>
      <c r="U11" s="3"/>
      <c r="V11" s="3"/>
      <c r="W11" s="3"/>
      <c r="X11" s="3"/>
      <c r="Y11" s="3"/>
    </row>
    <row r="12" spans="1:25">
      <c r="A12" s="3"/>
      <c r="B12" s="3"/>
      <c r="C12" s="115" t="s">
        <v>138</v>
      </c>
      <c r="D12" s="115" t="s">
        <v>235</v>
      </c>
      <c r="E12" s="115" t="s">
        <v>236</v>
      </c>
      <c r="F12" s="115" t="s">
        <v>237</v>
      </c>
      <c r="G12" s="7"/>
      <c r="H12" s="115" t="s">
        <v>138</v>
      </c>
      <c r="I12" s="115" t="s">
        <v>235</v>
      </c>
      <c r="J12" s="115" t="s">
        <v>236</v>
      </c>
      <c r="K12" s="115" t="s">
        <v>237</v>
      </c>
      <c r="L12" s="5">
        <v>0.33700000000000002</v>
      </c>
      <c r="M12" s="115" t="s">
        <v>138</v>
      </c>
      <c r="N12" s="115" t="s">
        <v>235</v>
      </c>
      <c r="O12" s="115" t="s">
        <v>236</v>
      </c>
      <c r="P12" s="115" t="s">
        <v>237</v>
      </c>
      <c r="Q12" s="3"/>
      <c r="R12" s="3"/>
      <c r="S12" s="3"/>
      <c r="T12" s="3"/>
      <c r="U12" s="3"/>
      <c r="V12" s="3"/>
      <c r="W12" s="3"/>
      <c r="X12" s="3"/>
      <c r="Y12" s="3"/>
    </row>
    <row r="13" spans="1:25">
      <c r="A13" s="4" t="s">
        <v>238</v>
      </c>
      <c r="B13" s="4" t="s">
        <v>239</v>
      </c>
      <c r="C13" s="5">
        <v>12.186</v>
      </c>
      <c r="D13" s="5">
        <v>0.188</v>
      </c>
      <c r="E13" s="5">
        <v>0.16600000000000001</v>
      </c>
      <c r="F13" s="5">
        <v>0.308</v>
      </c>
      <c r="G13" s="5">
        <v>0.55200000000000005</v>
      </c>
      <c r="H13" s="5">
        <v>10.185</v>
      </c>
      <c r="I13" s="5">
        <v>0.246</v>
      </c>
      <c r="J13" s="5">
        <v>0.16300000000000001</v>
      </c>
      <c r="K13" s="5">
        <v>0.2</v>
      </c>
      <c r="L13" s="7"/>
      <c r="M13" s="5">
        <v>3.415</v>
      </c>
      <c r="N13" s="5">
        <v>0.28100000000000003</v>
      </c>
      <c r="O13" s="5">
        <v>0.17399999999999999</v>
      </c>
      <c r="P13" s="5">
        <v>0.2</v>
      </c>
      <c r="Q13" s="5">
        <v>0.33700000000000002</v>
      </c>
      <c r="R13" s="3"/>
      <c r="S13" s="3"/>
      <c r="T13" s="3"/>
      <c r="U13" s="3"/>
      <c r="V13" s="3"/>
      <c r="W13" s="3"/>
      <c r="X13" s="3"/>
      <c r="Y13" s="3"/>
    </row>
    <row r="14" spans="1:25">
      <c r="A14" s="4" t="s">
        <v>240</v>
      </c>
      <c r="B14" s="4" t="s">
        <v>241</v>
      </c>
      <c r="C14" s="5">
        <v>13.542999999999999</v>
      </c>
      <c r="D14" s="5">
        <v>0.19600000000000001</v>
      </c>
      <c r="E14" s="5">
        <v>0.16700000000000001</v>
      </c>
      <c r="F14" s="5">
        <v>0.312</v>
      </c>
      <c r="G14" s="7"/>
      <c r="H14" s="5">
        <v>11.273</v>
      </c>
      <c r="I14" s="5">
        <v>0.25600000000000001</v>
      </c>
      <c r="J14" s="5">
        <v>0.16500000000000001</v>
      </c>
      <c r="K14" s="5">
        <v>0.2</v>
      </c>
      <c r="L14" s="7"/>
      <c r="M14" s="5">
        <v>3.5819999999999999</v>
      </c>
      <c r="N14" s="5">
        <v>0.28899999999999998</v>
      </c>
      <c r="O14" s="5">
        <v>0.17599999999999999</v>
      </c>
      <c r="P14" s="5">
        <v>0.2</v>
      </c>
      <c r="Q14" s="3"/>
      <c r="R14" s="3"/>
      <c r="S14" s="3"/>
      <c r="T14" s="3"/>
      <c r="U14" s="3"/>
      <c r="V14" s="3"/>
      <c r="W14" s="3"/>
      <c r="X14" s="3"/>
      <c r="Y14" s="3"/>
    </row>
    <row r="15" spans="1:25">
      <c r="A15" s="114" t="s">
        <v>242</v>
      </c>
      <c r="B15" s="114" t="s">
        <v>243</v>
      </c>
      <c r="C15" s="117">
        <v>13.706</v>
      </c>
      <c r="D15" s="117">
        <v>0.19700000000000001</v>
      </c>
      <c r="E15" s="117">
        <v>0.16700000000000001</v>
      </c>
      <c r="F15" s="117">
        <v>0.312</v>
      </c>
      <c r="G15" s="118"/>
      <c r="H15" s="117">
        <v>11.119</v>
      </c>
      <c r="I15" s="117">
        <v>0.255</v>
      </c>
      <c r="J15" s="117">
        <v>0.16500000000000001</v>
      </c>
      <c r="K15" s="117">
        <v>0.2</v>
      </c>
      <c r="L15" s="118"/>
      <c r="M15" s="117">
        <v>3.5609999999999999</v>
      </c>
      <c r="N15" s="117">
        <v>0.28799999999999998</v>
      </c>
      <c r="O15" s="117">
        <v>0.17599999999999999</v>
      </c>
      <c r="P15" s="117">
        <v>0.2</v>
      </c>
      <c r="Q15" s="3"/>
      <c r="R15" s="3"/>
      <c r="S15" s="3"/>
      <c r="T15" s="3"/>
      <c r="U15" s="3"/>
      <c r="V15" s="3"/>
      <c r="W15" s="3"/>
      <c r="X15" s="3"/>
      <c r="Y15" s="3"/>
    </row>
    <row r="16" spans="1:25">
      <c r="A16" s="4" t="s">
        <v>244</v>
      </c>
      <c r="B16" s="4" t="s">
        <v>245</v>
      </c>
      <c r="C16" s="116">
        <v>13.71</v>
      </c>
      <c r="D16" s="116">
        <v>0.19700000000000001</v>
      </c>
      <c r="E16" s="116">
        <v>0.16700000000000001</v>
      </c>
      <c r="F16" s="116">
        <v>0.312</v>
      </c>
      <c r="G16" s="7"/>
      <c r="H16" s="5">
        <v>11.076000000000001</v>
      </c>
      <c r="I16" s="5">
        <v>0.254</v>
      </c>
      <c r="J16" s="5">
        <v>0.16500000000000001</v>
      </c>
      <c r="K16" s="5">
        <v>0.2</v>
      </c>
      <c r="L16" s="7"/>
      <c r="M16" s="5">
        <v>3.4649999999999999</v>
      </c>
      <c r="N16" s="5">
        <v>0.28299999999999997</v>
      </c>
      <c r="O16" s="5">
        <v>0.17499999999999999</v>
      </c>
      <c r="P16" s="5">
        <v>0.2</v>
      </c>
      <c r="Q16" s="3"/>
      <c r="R16" s="3"/>
      <c r="S16" s="3"/>
      <c r="T16" s="3"/>
      <c r="U16" s="3"/>
      <c r="V16" s="3"/>
      <c r="W16" s="3"/>
      <c r="X16" s="3"/>
      <c r="Y16" s="3"/>
    </row>
    <row r="17" spans="1:25">
      <c r="A17" s="4" t="s">
        <v>246</v>
      </c>
      <c r="B17" s="4" t="s">
        <v>249</v>
      </c>
      <c r="C17" s="5">
        <v>13.846</v>
      </c>
      <c r="D17" s="5">
        <v>0.19700000000000001</v>
      </c>
      <c r="E17" s="5">
        <v>0.16900000000000001</v>
      </c>
      <c r="F17" s="5">
        <v>0.33800000000000002</v>
      </c>
      <c r="G17" s="7"/>
      <c r="H17" s="5">
        <v>11.523</v>
      </c>
      <c r="I17" s="5">
        <v>0.25900000000000001</v>
      </c>
      <c r="J17" s="5">
        <v>0.16600000000000001</v>
      </c>
      <c r="K17" s="5">
        <v>0.2</v>
      </c>
      <c r="L17" s="7"/>
      <c r="M17" s="5">
        <v>3.702</v>
      </c>
      <c r="N17" s="5">
        <v>0.29499999999999998</v>
      </c>
      <c r="O17" s="5">
        <v>0.17499999999999999</v>
      </c>
      <c r="P17" s="5">
        <v>0.2</v>
      </c>
      <c r="Q17" s="3"/>
      <c r="R17" s="3"/>
      <c r="S17" s="3"/>
      <c r="T17" s="3"/>
      <c r="U17" s="3"/>
      <c r="V17" s="3"/>
      <c r="W17" s="3"/>
      <c r="X17" s="3"/>
      <c r="Y17" s="3"/>
    </row>
    <row r="18" spans="1: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>
      <c r="A19" s="4" t="s">
        <v>231</v>
      </c>
      <c r="B19" s="3"/>
      <c r="C19" s="130" t="s">
        <v>232</v>
      </c>
      <c r="D19" s="131"/>
      <c r="E19" s="131"/>
      <c r="F19" s="132"/>
      <c r="G19" s="3"/>
      <c r="H19" s="130" t="s">
        <v>233</v>
      </c>
      <c r="I19" s="131"/>
      <c r="J19" s="131"/>
      <c r="K19" s="132"/>
      <c r="L19" s="3"/>
      <c r="M19" s="130" t="s">
        <v>234</v>
      </c>
      <c r="N19" s="131"/>
      <c r="O19" s="131"/>
      <c r="P19" s="132"/>
      <c r="Q19" s="3"/>
      <c r="R19" s="3"/>
      <c r="S19" s="3"/>
      <c r="T19" s="3"/>
      <c r="U19" s="3"/>
      <c r="V19" s="3"/>
      <c r="W19" s="3"/>
      <c r="X19" s="3"/>
      <c r="Y19" s="3"/>
    </row>
    <row r="20" spans="1:25">
      <c r="A20" s="3"/>
      <c r="B20" s="3"/>
      <c r="C20" s="115" t="s">
        <v>138</v>
      </c>
      <c r="D20" s="115" t="s">
        <v>235</v>
      </c>
      <c r="E20" s="115" t="s">
        <v>236</v>
      </c>
      <c r="F20" s="115" t="s">
        <v>237</v>
      </c>
      <c r="G20" s="3"/>
      <c r="H20" s="115" t="s">
        <v>138</v>
      </c>
      <c r="I20" s="115" t="s">
        <v>235</v>
      </c>
      <c r="J20" s="115" t="s">
        <v>236</v>
      </c>
      <c r="K20" s="115" t="s">
        <v>237</v>
      </c>
      <c r="L20" s="5">
        <v>0.33700000000000002</v>
      </c>
      <c r="M20" s="115" t="s">
        <v>138</v>
      </c>
      <c r="N20" s="115" t="s">
        <v>235</v>
      </c>
      <c r="O20" s="115" t="s">
        <v>236</v>
      </c>
      <c r="P20" s="115" t="s">
        <v>237</v>
      </c>
      <c r="Q20" s="3"/>
      <c r="R20" s="3"/>
      <c r="S20" s="3"/>
      <c r="T20" s="3"/>
      <c r="U20" s="3"/>
      <c r="V20" s="3"/>
      <c r="W20" s="3"/>
      <c r="X20" s="3"/>
      <c r="Y20" s="3"/>
    </row>
    <row r="21" spans="1:25">
      <c r="A21" s="4" t="s">
        <v>250</v>
      </c>
      <c r="B21" s="4" t="s">
        <v>251</v>
      </c>
      <c r="C21" s="5">
        <v>5</v>
      </c>
      <c r="D21" s="5">
        <v>0.127</v>
      </c>
      <c r="E21" s="5">
        <v>0.12</v>
      </c>
      <c r="F21" s="5">
        <v>0.23599999999999999</v>
      </c>
      <c r="G21" s="5">
        <v>0.55200000000000005</v>
      </c>
      <c r="H21" s="7"/>
      <c r="I21" s="7"/>
      <c r="J21" s="7"/>
      <c r="K21" s="7"/>
      <c r="L21" s="7"/>
      <c r="M21" s="7"/>
      <c r="N21" s="7"/>
      <c r="O21" s="7"/>
      <c r="P21" s="7"/>
      <c r="Q21" s="3"/>
      <c r="R21" s="3"/>
      <c r="S21" s="3"/>
      <c r="T21" s="3"/>
      <c r="U21" s="3"/>
      <c r="V21" s="3"/>
      <c r="W21" s="3"/>
      <c r="X21" s="3"/>
      <c r="Y21" s="3"/>
    </row>
    <row r="22" spans="1:25">
      <c r="A22" s="4" t="s">
        <v>252</v>
      </c>
      <c r="B22" s="4" t="s">
        <v>253</v>
      </c>
      <c r="C22" s="5">
        <v>4.2919999999999998</v>
      </c>
      <c r="D22" s="5">
        <v>0.11799999999999999</v>
      </c>
      <c r="E22" s="5">
        <v>0.126</v>
      </c>
      <c r="F22" s="5">
        <v>0.246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3"/>
      <c r="R22" s="3"/>
      <c r="S22" s="3"/>
      <c r="T22" s="3"/>
      <c r="U22" s="3"/>
      <c r="V22" s="3"/>
      <c r="W22" s="3"/>
      <c r="X22" s="3"/>
      <c r="Y22" s="3"/>
    </row>
    <row r="23" spans="1:25">
      <c r="A23" s="4" t="s">
        <v>254</v>
      </c>
      <c r="B23" s="4" t="s">
        <v>255</v>
      </c>
      <c r="C23" s="5">
        <v>4.4139999999999997</v>
      </c>
      <c r="D23" s="5">
        <v>0.11899999999999999</v>
      </c>
      <c r="E23" s="5">
        <v>0.125</v>
      </c>
      <c r="F23" s="5">
        <v>0.24399999999999999</v>
      </c>
      <c r="G23" s="7"/>
      <c r="H23" s="5">
        <v>4.3090000000000002</v>
      </c>
      <c r="I23" s="5">
        <v>0.16400000000000001</v>
      </c>
      <c r="J23" s="5">
        <v>0.13</v>
      </c>
      <c r="K23" s="5">
        <v>0.183</v>
      </c>
      <c r="L23" s="7"/>
      <c r="M23" s="7"/>
      <c r="N23" s="7"/>
      <c r="O23" s="7"/>
      <c r="P23" s="7"/>
      <c r="Q23" s="3"/>
      <c r="R23" s="3"/>
      <c r="S23" s="3"/>
      <c r="T23" s="3"/>
      <c r="U23" s="3"/>
      <c r="V23" s="3"/>
      <c r="W23" s="3"/>
      <c r="X23" s="3"/>
      <c r="Y23" s="3"/>
    </row>
    <row r="24" spans="1:25">
      <c r="A24" s="4"/>
      <c r="B24" s="3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3"/>
      <c r="R24" s="3"/>
      <c r="S24" s="3"/>
      <c r="T24" s="3"/>
      <c r="U24" s="3"/>
      <c r="V24" s="3"/>
      <c r="W24" s="3"/>
      <c r="X24" s="3"/>
      <c r="Y24" s="3"/>
    </row>
    <row r="25" spans="1:25">
      <c r="A25" s="3"/>
      <c r="B25" s="3"/>
      <c r="C25" s="130" t="s">
        <v>232</v>
      </c>
      <c r="D25" s="131"/>
      <c r="E25" s="131"/>
      <c r="F25" s="132"/>
      <c r="G25" s="3"/>
      <c r="H25" s="130" t="s">
        <v>233</v>
      </c>
      <c r="I25" s="131"/>
      <c r="J25" s="131"/>
      <c r="K25" s="132"/>
      <c r="L25" s="3"/>
      <c r="M25" s="130" t="s">
        <v>234</v>
      </c>
      <c r="N25" s="131"/>
      <c r="O25" s="131"/>
      <c r="P25" s="132"/>
      <c r="Q25" s="3"/>
      <c r="R25" s="3"/>
      <c r="S25" s="3"/>
      <c r="T25" s="3"/>
      <c r="U25" s="3"/>
      <c r="V25" s="3"/>
      <c r="W25" s="3"/>
      <c r="X25" s="3"/>
      <c r="Y25" s="3"/>
    </row>
    <row r="26" spans="1:25">
      <c r="A26" s="3"/>
      <c r="B26" s="3"/>
      <c r="C26" s="115" t="s">
        <v>138</v>
      </c>
      <c r="D26" s="115" t="s">
        <v>235</v>
      </c>
      <c r="E26" s="115" t="s">
        <v>236</v>
      </c>
      <c r="F26" s="115" t="s">
        <v>237</v>
      </c>
      <c r="G26" s="7"/>
      <c r="H26" s="115" t="s">
        <v>138</v>
      </c>
      <c r="I26" s="115" t="s">
        <v>235</v>
      </c>
      <c r="J26" s="115" t="s">
        <v>236</v>
      </c>
      <c r="K26" s="115" t="s">
        <v>237</v>
      </c>
      <c r="L26" s="5">
        <v>0.33700000000000002</v>
      </c>
      <c r="M26" s="115" t="s">
        <v>138</v>
      </c>
      <c r="N26" s="115" t="s">
        <v>235</v>
      </c>
      <c r="O26" s="115" t="s">
        <v>236</v>
      </c>
      <c r="P26" s="115" t="s">
        <v>237</v>
      </c>
      <c r="Q26" s="3"/>
      <c r="R26" s="3"/>
      <c r="S26" s="3"/>
      <c r="T26" s="3"/>
      <c r="U26" s="3"/>
      <c r="V26" s="3"/>
      <c r="W26" s="3"/>
      <c r="X26" s="3"/>
      <c r="Y26" s="3"/>
    </row>
    <row r="27" spans="1:25">
      <c r="A27" s="114" t="s">
        <v>256</v>
      </c>
      <c r="B27" s="114" t="s">
        <v>257</v>
      </c>
      <c r="C27" s="117">
        <v>4.71</v>
      </c>
      <c r="D27" s="117">
        <v>0.123</v>
      </c>
      <c r="E27" s="117">
        <v>0.10299999999999999</v>
      </c>
      <c r="F27" s="117">
        <v>0.11799999999999999</v>
      </c>
      <c r="G27" s="117">
        <v>0.55200000000000005</v>
      </c>
      <c r="H27" s="119">
        <v>2.8540000000000001</v>
      </c>
      <c r="I27" s="117">
        <v>0.13100000000000001</v>
      </c>
      <c r="J27" s="117">
        <v>0.108</v>
      </c>
      <c r="K27" s="117">
        <v>0.11799999999999999</v>
      </c>
      <c r="L27" s="118"/>
      <c r="M27" s="117">
        <v>1.006</v>
      </c>
      <c r="N27" s="117">
        <v>0.123</v>
      </c>
      <c r="O27" s="117">
        <v>0.109</v>
      </c>
      <c r="P27" s="117">
        <v>0.104</v>
      </c>
      <c r="Q27" s="3"/>
      <c r="R27" s="3"/>
      <c r="S27" s="3"/>
      <c r="T27" s="3"/>
      <c r="U27" s="3"/>
      <c r="V27" s="3"/>
      <c r="W27" s="3"/>
      <c r="X27" s="3"/>
      <c r="Y27" s="3"/>
    </row>
    <row r="28" spans="1:25">
      <c r="A28" s="4"/>
      <c r="B28" s="4" t="s">
        <v>258</v>
      </c>
      <c r="C28" s="5">
        <v>4.657</v>
      </c>
      <c r="D28" s="5">
        <v>0.123</v>
      </c>
      <c r="E28" s="5">
        <v>9.8000000000000004E-2</v>
      </c>
      <c r="F28" s="5">
        <v>0.11899999999999999</v>
      </c>
      <c r="G28" s="5"/>
      <c r="H28" s="5">
        <v>2.74</v>
      </c>
      <c r="I28" s="5">
        <v>0.128</v>
      </c>
      <c r="J28" s="5">
        <v>0.10100000000000001</v>
      </c>
      <c r="K28" s="5">
        <v>0.111</v>
      </c>
      <c r="L28" s="7"/>
      <c r="M28" s="5">
        <v>0.93200000000000005</v>
      </c>
      <c r="N28" s="5">
        <v>0.11600000000000001</v>
      </c>
      <c r="O28" s="5">
        <v>0.10199999999999999</v>
      </c>
      <c r="P28" s="5">
        <v>9.1999999999999998E-2</v>
      </c>
      <c r="Q28" s="3"/>
      <c r="R28" s="3"/>
      <c r="S28" s="3"/>
      <c r="T28" s="3"/>
      <c r="U28" s="3"/>
      <c r="V28" s="3"/>
      <c r="W28" s="3"/>
      <c r="X28" s="3"/>
      <c r="Y28" s="3"/>
    </row>
    <row r="29" spans="1:25">
      <c r="A29" s="4" t="s">
        <v>259</v>
      </c>
      <c r="B29" s="4" t="s">
        <v>257</v>
      </c>
      <c r="C29" s="5">
        <v>4.7140000000000004</v>
      </c>
      <c r="D29" s="5">
        <v>0.123</v>
      </c>
      <c r="E29" s="5">
        <v>0.10199999999999999</v>
      </c>
      <c r="F29" s="5">
        <v>0.11799999999999999</v>
      </c>
      <c r="G29" s="5"/>
      <c r="H29" s="5">
        <v>2.625</v>
      </c>
      <c r="I29" s="5">
        <v>0.124</v>
      </c>
      <c r="J29" s="5">
        <v>0.106</v>
      </c>
      <c r="K29" s="5">
        <v>0.11799999999999999</v>
      </c>
      <c r="L29" s="7"/>
      <c r="M29" s="5">
        <v>0.80900000000000005</v>
      </c>
      <c r="N29" s="5">
        <v>0.104</v>
      </c>
      <c r="O29" s="5">
        <v>0.106</v>
      </c>
      <c r="P29" s="5">
        <v>0.114</v>
      </c>
      <c r="Q29" s="3"/>
      <c r="R29" s="3"/>
      <c r="S29" s="3"/>
      <c r="T29" s="3"/>
      <c r="U29" s="3"/>
      <c r="V29" s="3"/>
      <c r="W29" s="3"/>
      <c r="X29" s="3"/>
      <c r="Y29" s="3"/>
    </row>
    <row r="30" spans="1:25">
      <c r="A30" s="3"/>
      <c r="B30" s="4" t="s">
        <v>258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3"/>
      <c r="R30" s="3"/>
      <c r="S30" s="3"/>
      <c r="T30" s="3"/>
      <c r="U30" s="3"/>
      <c r="V30" s="3"/>
      <c r="W30" s="3"/>
      <c r="X30" s="3"/>
      <c r="Y30" s="3"/>
    </row>
    <row r="31" spans="1:25">
      <c r="A31" s="3"/>
      <c r="B31" s="3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3"/>
      <c r="R31" s="3"/>
      <c r="S31" s="3"/>
      <c r="T31" s="3"/>
      <c r="U31" s="3"/>
      <c r="V31" s="3"/>
      <c r="W31" s="3"/>
      <c r="X31" s="3"/>
      <c r="Y31" s="3"/>
    </row>
    <row r="32" spans="1: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>
      <c r="A33" s="3"/>
      <c r="B33" s="3"/>
      <c r="C33" s="5"/>
      <c r="D33" s="5"/>
      <c r="E33" s="3"/>
      <c r="F33" s="5"/>
      <c r="G33" s="120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>
      <c r="A34" s="3"/>
      <c r="B34" s="3"/>
      <c r="C34" s="5"/>
      <c r="D34" s="5"/>
      <c r="E34" s="3"/>
      <c r="F34" s="5"/>
      <c r="G34" s="121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>
      <c r="A35" s="3"/>
      <c r="B35" s="3"/>
      <c r="C35" s="5"/>
      <c r="D35" s="5"/>
      <c r="E35" s="3"/>
      <c r="F35" s="5"/>
      <c r="G35" s="121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>
      <c r="A36" s="3"/>
      <c r="B36" s="3"/>
      <c r="C36" s="5"/>
      <c r="D36" s="5"/>
      <c r="E36" s="3"/>
      <c r="F36" s="5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>
      <c r="A37" s="3"/>
      <c r="B37" s="3"/>
      <c r="C37" s="5"/>
      <c r="D37" s="5"/>
      <c r="E37" s="3"/>
      <c r="F37" s="5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>
      <c r="A38" s="3"/>
      <c r="B38" s="3"/>
      <c r="C38" s="5"/>
      <c r="D38" s="5"/>
      <c r="E38" s="3"/>
      <c r="F38" s="5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</sheetData>
  <mergeCells count="12">
    <mergeCell ref="H19:K19"/>
    <mergeCell ref="M19:P19"/>
    <mergeCell ref="C25:F25"/>
    <mergeCell ref="H25:K25"/>
    <mergeCell ref="M25:P25"/>
    <mergeCell ref="C19:F19"/>
    <mergeCell ref="C2:F2"/>
    <mergeCell ref="H2:K2"/>
    <mergeCell ref="M2:P2"/>
    <mergeCell ref="C11:F11"/>
    <mergeCell ref="H11:K11"/>
    <mergeCell ref="M11:P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Dashboard</vt:lpstr>
      <vt:lpstr>Charts</vt:lpstr>
      <vt:lpstr>Stats</vt:lpstr>
      <vt:lpstr>Quant Rotation</vt:lpstr>
      <vt:lpstr>Quant Rotation Monthly Returns</vt:lpstr>
      <vt:lpstr>Quant Rotation Yearly Returns</vt:lpstr>
      <vt:lpstr>Quant Rotation Ledger</vt:lpstr>
      <vt:lpstr>Quant 6040</vt:lpstr>
      <vt:lpstr>Sheet20</vt:lpstr>
      <vt:lpstr>Quant 6040 Returns</vt:lpstr>
      <vt:lpstr>Quant 6040 Stats</vt:lpstr>
      <vt:lpstr>Quant 6040 Ledger</vt:lpstr>
      <vt:lpstr>GARP Ledger</vt:lpstr>
      <vt:lpstr>PowerStocks Ledger</vt:lpstr>
      <vt:lpstr>ETF Rotation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Marini</dc:creator>
  <cp:lastModifiedBy>Rob Marini</cp:lastModifiedBy>
  <dcterms:created xsi:type="dcterms:W3CDTF">2021-12-03T11:28:57Z</dcterms:created>
  <dcterms:modified xsi:type="dcterms:W3CDTF">2021-12-03T11:29:40Z</dcterms:modified>
</cp:coreProperties>
</file>