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 Thinkpad\Desktop\Dave Personal\"/>
    </mc:Choice>
  </mc:AlternateContent>
  <xr:revisionPtr revIDLastSave="0" documentId="13_ncr:1_{C87D3E47-489A-4E7E-A17F-3D436ED2C8B6}" xr6:coauthVersionLast="45" xr6:coauthVersionMax="45" xr10:uidLastSave="{00000000-0000-0000-0000-000000000000}"/>
  <bookViews>
    <workbookView xWindow="-108" yWindow="-108" windowWidth="23256" windowHeight="12576" activeTab="2" xr2:uid="{F30514BE-19A5-4FCA-9115-8F998F0EEB97}"/>
  </bookViews>
  <sheets>
    <sheet name="Sheet1" sheetId="1" r:id="rId1"/>
    <sheet name="Sheet2" sheetId="2" r:id="rId2"/>
    <sheet name="Sheet3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" l="1"/>
  <c r="G12" i="3"/>
  <c r="H12" i="3"/>
  <c r="B15" i="1"/>
  <c r="J12" i="3"/>
  <c r="K12" i="3"/>
  <c r="F19" i="3"/>
  <c r="F20" i="3"/>
  <c r="F21" i="3"/>
  <c r="E21" i="3"/>
  <c r="G21" i="3"/>
  <c r="H21" i="3"/>
  <c r="J21" i="3"/>
  <c r="F7" i="3"/>
  <c r="F8" i="3"/>
  <c r="F9" i="3"/>
  <c r="F13" i="3"/>
  <c r="F14" i="3"/>
  <c r="F15" i="3"/>
  <c r="E19" i="3"/>
  <c r="G19" i="3"/>
  <c r="H19" i="3"/>
  <c r="J19" i="3"/>
  <c r="E20" i="3"/>
  <c r="G20" i="3"/>
  <c r="H20" i="3"/>
  <c r="J20" i="3"/>
  <c r="E18" i="3"/>
  <c r="G18" i="3"/>
  <c r="H18" i="3"/>
  <c r="J18" i="3"/>
  <c r="D19" i="3"/>
  <c r="D18" i="3"/>
  <c r="C19" i="3"/>
  <c r="C18" i="3"/>
  <c r="C21" i="3"/>
  <c r="D21" i="3"/>
  <c r="I21" i="3"/>
  <c r="I20" i="3"/>
  <c r="K20" i="3"/>
  <c r="I19" i="3"/>
  <c r="C20" i="3"/>
  <c r="D20" i="3"/>
  <c r="E15" i="3"/>
  <c r="G15" i="3"/>
  <c r="H15" i="3"/>
  <c r="J15" i="3"/>
  <c r="C15" i="3"/>
  <c r="D15" i="3"/>
  <c r="K15" i="3"/>
  <c r="E14" i="3"/>
  <c r="G14" i="3"/>
  <c r="H14" i="3"/>
  <c r="J14" i="3"/>
  <c r="I15" i="3"/>
  <c r="E13" i="3"/>
  <c r="C13" i="3"/>
  <c r="D13" i="3"/>
  <c r="C14" i="3"/>
  <c r="D14" i="3"/>
  <c r="G13" i="3"/>
  <c r="H13" i="3"/>
  <c r="J13" i="3"/>
  <c r="K14" i="3"/>
  <c r="K18" i="3"/>
  <c r="C12" i="3"/>
  <c r="D12" i="3"/>
  <c r="E9" i="3"/>
  <c r="C9" i="3"/>
  <c r="D9" i="3"/>
  <c r="E7" i="3"/>
  <c r="G7" i="3"/>
  <c r="H7" i="3"/>
  <c r="J7" i="3"/>
  <c r="K7" i="3"/>
  <c r="E8" i="3"/>
  <c r="G8" i="3"/>
  <c r="H8" i="3"/>
  <c r="J8" i="3"/>
  <c r="K8" i="3"/>
  <c r="G9" i="3"/>
  <c r="H9" i="3"/>
  <c r="J9" i="3"/>
  <c r="K9" i="3"/>
  <c r="E6" i="3"/>
  <c r="G6" i="3"/>
  <c r="H6" i="3"/>
  <c r="J6" i="3"/>
  <c r="I9" i="3"/>
  <c r="I12" i="3"/>
  <c r="I13" i="3"/>
  <c r="I14" i="3"/>
  <c r="I18" i="3"/>
  <c r="C8" i="3"/>
  <c r="D8" i="3"/>
  <c r="I7" i="3"/>
  <c r="I8" i="3"/>
  <c r="C7" i="3"/>
  <c r="D7" i="3"/>
  <c r="I6" i="3"/>
  <c r="D6" i="3"/>
  <c r="C6" i="3"/>
  <c r="C3" i="2"/>
  <c r="C8" i="2"/>
  <c r="C10" i="2"/>
</calcChain>
</file>

<file path=xl/sharedStrings.xml><?xml version="1.0" encoding="utf-8"?>
<sst xmlns="http://schemas.openxmlformats.org/spreadsheetml/2006/main" count="104" uniqueCount="75">
  <si>
    <t>Name of Fee</t>
  </si>
  <si>
    <t>Low</t>
  </si>
  <si>
    <t>Deposit for Leasehold</t>
  </si>
  <si>
    <t>3 Months' Rent</t>
  </si>
  <si>
    <t>AED and First Aid Equipment/Training</t>
  </si>
  <si>
    <t>Exterior Signage</t>
  </si>
  <si>
    <t>Technology System</t>
  </si>
  <si>
    <t>Business Licenses/Miscellaneous Opening Costs</t>
  </si>
  <si>
    <t>Insurance</t>
  </si>
  <si>
    <t>Additional Funds - 3 months</t>
  </si>
  <si>
    <t>Estimated Start-up Fees for Twin Pad Indoor Urban Soccer Park</t>
  </si>
  <si>
    <t>ESTIMATED TOTAL</t>
  </si>
  <si>
    <t>Details</t>
  </si>
  <si>
    <t>Security deposit plus last months rent</t>
  </si>
  <si>
    <t xml:space="preserve">Includes graphic design </t>
  </si>
  <si>
    <t>Initial Inventory/supplies</t>
  </si>
  <si>
    <t>IT, website, phone and booking systems</t>
  </si>
  <si>
    <t>Grand Opening Advertising</t>
  </si>
  <si>
    <t xml:space="preserve">12,000 sq ft builidng @ $10 triple net. Estimated build out time for each soccer pad is 5 weeks. </t>
  </si>
  <si>
    <t>Reserve fund to be maintained annually.</t>
  </si>
  <si>
    <t>Inventory would include all café/tuck shop goods</t>
  </si>
  <si>
    <t>Initial fund structuring and legal</t>
  </si>
  <si>
    <t>Reception Desk, Display Wall and all Interior Logo Signage</t>
  </si>
  <si>
    <t>Leasehold Improvements and Construction Costs</t>
  </si>
  <si>
    <t xml:space="preserve">Digital advertising plus promotional offers </t>
  </si>
  <si>
    <t>Other Fees</t>
  </si>
  <si>
    <t>Type of Fee</t>
  </si>
  <si>
    <t>Amount</t>
  </si>
  <si>
    <t>Management Fee</t>
  </si>
  <si>
    <t>A fee that the franchisor specifies up to 15% of gross sales plus the franchisor’s actual costs and expenses.</t>
  </si>
  <si>
    <t>Wages and Benefits</t>
  </si>
  <si>
    <t>Minimum of 1 staff member on hand at all times. Assume hours of operation are 8am to 10pm daily (14 hours)</t>
  </si>
  <si>
    <t>No audit requirement</t>
  </si>
  <si>
    <t>Rent</t>
  </si>
  <si>
    <t xml:space="preserve">$10/sq foot triple net </t>
  </si>
  <si>
    <t>Note: all users waive insurance provisions or agree to provide their own.</t>
  </si>
  <si>
    <t>Annual</t>
  </si>
  <si>
    <t>Utilties</t>
  </si>
  <si>
    <t>Repairs and Maintenance</t>
  </si>
  <si>
    <t>Reserve of $25,000 to be maintained, project $500/month</t>
  </si>
  <si>
    <t>Scenario</t>
  </si>
  <si>
    <t>Weekly</t>
  </si>
  <si>
    <t>Annually</t>
  </si>
  <si>
    <t xml:space="preserve"> </t>
  </si>
  <si>
    <t>Monthly</t>
  </si>
  <si>
    <t>Goal (8 months full capacity, 4 months 40% capacity)</t>
  </si>
  <si>
    <t>Stretch 10 months full capacity, 2 months 40% capacity)</t>
  </si>
  <si>
    <t>Baseline (6 months full capacity, 6 months 25% capacity)</t>
  </si>
  <si>
    <t>Total Expenses</t>
  </si>
  <si>
    <t>Net Income</t>
  </si>
  <si>
    <t>Avg Hourly Rate</t>
  </si>
  <si>
    <t>50% Investors</t>
  </si>
  <si>
    <t>50% Management Group</t>
  </si>
  <si>
    <t>Full Capacity</t>
  </si>
  <si>
    <t>Investor ROI</t>
  </si>
  <si>
    <t>Total ROI</t>
  </si>
  <si>
    <t>Conservative</t>
  </si>
  <si>
    <t>Target</t>
  </si>
  <si>
    <t>Outperform</t>
  </si>
  <si>
    <t>Twin soccer pads $150,000 each. Common areas/tuck shop and rest rooms $90,000</t>
  </si>
  <si>
    <t>Prepared by:</t>
  </si>
  <si>
    <t>Real File CPA</t>
  </si>
  <si>
    <t>Date:</t>
  </si>
  <si>
    <t>Revenue Projections for a       Twin Pad Indoor Soccer Park Centrally located in the GTA</t>
  </si>
  <si>
    <t>Definitions:</t>
  </si>
  <si>
    <t>Weekends and Holidays fully booked 8am to 10pm</t>
  </si>
  <si>
    <t>Weekdays fully booked 4pm to 10pm</t>
  </si>
  <si>
    <t>November 1st to April 30th</t>
  </si>
  <si>
    <t>September 1st to April 30th</t>
  </si>
  <si>
    <t>6 months full capacity</t>
  </si>
  <si>
    <t>8 months full capacity</t>
  </si>
  <si>
    <t>10 months full capacity</t>
  </si>
  <si>
    <t>September 1st to June 30th</t>
  </si>
  <si>
    <t>Rental Rate per hour, per pad.</t>
  </si>
  <si>
    <t>Office and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</si>
</sst>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2F587C"/>
      <name val="Arial"/>
      <family val="2"/>
    </font>
    <font>
      <sz val="8"/>
      <color rgb="FF626E7A"/>
      <name val="Arial"/>
      <family val="2"/>
    </font>
    <font>
      <b/>
      <sz val="8"/>
      <color rgb="FF142B40"/>
      <name val="Arial"/>
      <family val="2"/>
    </font>
    <font>
      <sz val="8"/>
      <color theme="1"/>
      <name val="Arial"/>
      <family val="2"/>
    </font>
    <font>
      <sz val="20"/>
      <color theme="1"/>
      <name val="Calibri"/>
      <family val="2"/>
      <scheme val="minor"/>
    </font>
    <font>
      <sz val="9"/>
      <color rgb="FF626E7A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8D7"/>
        <bgColor indexed="64"/>
      </patternFill>
    </fill>
    <fill>
      <patternFill patternType="solid">
        <fgColor rgb="FFF7F6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rgb="FFD9D8D7"/>
      </left>
      <right style="medium">
        <color rgb="FFD9D8D7"/>
      </right>
      <top style="medium">
        <color rgb="FFD9D8D7"/>
      </top>
      <bottom style="medium">
        <color rgb="FFD9D8D7"/>
      </bottom>
      <diagonal/>
    </border>
    <border>
      <left/>
      <right/>
      <top/>
      <bottom style="medium">
        <color rgb="FFD9D8D7"/>
      </bottom>
      <diagonal/>
    </border>
    <border>
      <left style="medium">
        <color rgb="FFD9D8D7"/>
      </left>
      <right/>
      <top/>
      <bottom style="thin">
        <color indexed="64"/>
      </bottom>
      <diagonal/>
    </border>
    <border>
      <left style="medium">
        <color rgb="FFD9D8D7"/>
      </left>
      <right style="medium">
        <color rgb="FFD9D8D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9D8D7"/>
      </left>
      <right/>
      <top style="medium">
        <color rgb="FFD9D8D7"/>
      </top>
      <bottom style="medium">
        <color rgb="FFD9D8D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D9D8D7"/>
      </left>
      <right style="medium">
        <color rgb="FFD9D8D7"/>
      </right>
      <top/>
      <bottom style="medium">
        <color rgb="FFD9D8D7"/>
      </bottom>
      <diagonal/>
    </border>
    <border>
      <left style="medium">
        <color rgb="FFD9D8D7"/>
      </left>
      <right/>
      <top/>
      <bottom style="medium">
        <color rgb="FFD9D8D7"/>
      </bottom>
      <diagonal/>
    </border>
    <border>
      <left style="medium">
        <color rgb="FFD9D8D7"/>
      </left>
      <right style="medium">
        <color rgb="FFD9D8D7"/>
      </right>
      <top style="medium">
        <color rgb="FFD9D8D7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6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6" fontId="4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6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0" fillId="0" borderId="0" xfId="0" applyNumberFormat="1"/>
    <xf numFmtId="164" fontId="0" fillId="0" borderId="0" xfId="0" applyNumberFormat="1"/>
    <xf numFmtId="164" fontId="0" fillId="0" borderId="3" xfId="0" applyNumberFormat="1" applyBorder="1"/>
    <xf numFmtId="9" fontId="0" fillId="0" borderId="0" xfId="0" applyNumberFormat="1"/>
    <xf numFmtId="0" fontId="3" fillId="3" borderId="4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6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/>
    </xf>
    <xf numFmtId="9" fontId="0" fillId="5" borderId="5" xfId="0" applyNumberFormat="1" applyFill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5" borderId="0" xfId="0" applyNumberForma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6" fontId="4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 wrapText="1"/>
    </xf>
    <xf numFmtId="9" fontId="0" fillId="7" borderId="5" xfId="0" applyNumberForma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6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6" xfId="0" applyNumberFormat="1" applyFont="1" applyFill="1" applyBorder="1" applyAlignment="1">
      <alignment horizontal="center" vertical="center" wrapText="1"/>
    </xf>
    <xf numFmtId="9" fontId="9" fillId="6" borderId="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7" fillId="8" borderId="8" xfId="0" applyFont="1" applyFill="1" applyBorder="1"/>
    <xf numFmtId="0" fontId="0" fillId="8" borderId="0" xfId="0" applyFont="1" applyFill="1" applyBorder="1" applyAlignment="1">
      <alignment horizontal="left" vertical="center" wrapText="1"/>
    </xf>
    <xf numFmtId="0" fontId="0" fillId="8" borderId="0" xfId="0" applyFont="1" applyFill="1" applyBorder="1" applyAlignment="1">
      <alignment wrapText="1"/>
    </xf>
    <xf numFmtId="15" fontId="0" fillId="8" borderId="8" xfId="0" applyNumberFormat="1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wrapText="1"/>
    </xf>
    <xf numFmtId="6" fontId="4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8" borderId="8" xfId="0" applyFill="1" applyBorder="1"/>
    <xf numFmtId="0" fontId="1" fillId="8" borderId="8" xfId="0" applyFont="1" applyFill="1" applyBorder="1"/>
    <xf numFmtId="0" fontId="0" fillId="8" borderId="12" xfId="0" applyFont="1" applyFill="1" applyBorder="1"/>
    <xf numFmtId="0" fontId="7" fillId="8" borderId="13" xfId="0" applyFont="1" applyFill="1" applyBorder="1"/>
    <xf numFmtId="0" fontId="12" fillId="0" borderId="14" xfId="0" applyFont="1" applyFill="1" applyBorder="1"/>
    <xf numFmtId="0" fontId="1" fillId="0" borderId="8" xfId="0" applyFont="1" applyFill="1" applyBorder="1"/>
    <xf numFmtId="0" fontId="0" fillId="0" borderId="8" xfId="0" applyFill="1" applyBorder="1"/>
    <xf numFmtId="0" fontId="11" fillId="0" borderId="8" xfId="0" applyFont="1" applyFill="1" applyBorder="1"/>
    <xf numFmtId="0" fontId="2" fillId="0" borderId="0" xfId="0" applyFont="1"/>
    <xf numFmtId="0" fontId="0" fillId="6" borderId="0" xfId="0" applyFill="1"/>
    <xf numFmtId="0" fontId="0" fillId="2" borderId="2" xfId="0" applyFill="1" applyBorder="1" applyAlignment="1">
      <alignment horizontal="left" vertical="center"/>
    </xf>
    <xf numFmtId="0" fontId="0" fillId="0" borderId="2" xfId="0" applyBorder="1"/>
    <xf numFmtId="0" fontId="10" fillId="8" borderId="8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AD89-CBA6-457A-A058-538E1A63F06D}">
  <dimension ref="A1:D17"/>
  <sheetViews>
    <sheetView topLeftCell="A2" workbookViewId="0">
      <selection activeCell="F23" sqref="F23"/>
    </sheetView>
  </sheetViews>
  <sheetFormatPr defaultRowHeight="14.4" x14ac:dyDescent="0.3"/>
  <cols>
    <col min="1" max="1" width="35" customWidth="1"/>
    <col min="2" max="2" width="12.6640625" customWidth="1"/>
  </cols>
  <sheetData>
    <row r="1" spans="1:3" ht="15" thickBot="1" x14ac:dyDescent="0.35">
      <c r="A1" s="66" t="s">
        <v>10</v>
      </c>
      <c r="B1" s="67"/>
    </row>
    <row r="2" spans="1:3" ht="15" thickBot="1" x14ac:dyDescent="0.35">
      <c r="A2" s="1" t="s">
        <v>0</v>
      </c>
      <c r="B2" s="1" t="s">
        <v>1</v>
      </c>
      <c r="C2" s="1" t="s">
        <v>12</v>
      </c>
    </row>
    <row r="3" spans="1:3" ht="15" thickBot="1" x14ac:dyDescent="0.35">
      <c r="A3" s="2" t="s">
        <v>2</v>
      </c>
      <c r="B3" s="3">
        <v>20000</v>
      </c>
      <c r="C3" s="8" t="s">
        <v>13</v>
      </c>
    </row>
    <row r="4" spans="1:3" ht="15" thickBot="1" x14ac:dyDescent="0.35">
      <c r="A4" s="4" t="s">
        <v>3</v>
      </c>
      <c r="B4" s="5">
        <v>36000</v>
      </c>
      <c r="C4" s="8" t="s">
        <v>18</v>
      </c>
    </row>
    <row r="5" spans="1:3" ht="15" thickBot="1" x14ac:dyDescent="0.35">
      <c r="A5" s="2" t="s">
        <v>23</v>
      </c>
      <c r="B5" s="3">
        <v>390000</v>
      </c>
      <c r="C5" s="8" t="s">
        <v>59</v>
      </c>
    </row>
    <row r="6" spans="1:3" ht="21" thickBot="1" x14ac:dyDescent="0.35">
      <c r="A6" s="4" t="s">
        <v>22</v>
      </c>
      <c r="B6" s="5">
        <v>11600</v>
      </c>
      <c r="C6" s="8" t="s">
        <v>14</v>
      </c>
    </row>
    <row r="7" spans="1:3" ht="15" thickBot="1" x14ac:dyDescent="0.35">
      <c r="A7" s="2" t="s">
        <v>15</v>
      </c>
      <c r="B7" s="3">
        <v>2000</v>
      </c>
      <c r="C7" s="8" t="s">
        <v>20</v>
      </c>
    </row>
    <row r="8" spans="1:3" ht="15" thickBot="1" x14ac:dyDescent="0.35">
      <c r="A8" s="4" t="s">
        <v>4</v>
      </c>
      <c r="B8" s="5">
        <v>1000</v>
      </c>
      <c r="C8" s="8"/>
    </row>
    <row r="9" spans="1:3" ht="15" thickBot="1" x14ac:dyDescent="0.35">
      <c r="A9" s="2" t="s">
        <v>5</v>
      </c>
      <c r="B9" s="3">
        <v>5000</v>
      </c>
      <c r="C9" s="8"/>
    </row>
    <row r="10" spans="1:3" ht="15" thickBot="1" x14ac:dyDescent="0.35">
      <c r="A10" s="4" t="s">
        <v>6</v>
      </c>
      <c r="B10" s="5">
        <v>10000</v>
      </c>
      <c r="C10" s="8" t="s">
        <v>16</v>
      </c>
    </row>
    <row r="11" spans="1:3" ht="15" thickBot="1" x14ac:dyDescent="0.35">
      <c r="A11" s="2" t="s">
        <v>17</v>
      </c>
      <c r="B11" s="3">
        <v>7500</v>
      </c>
      <c r="C11" s="8" t="s">
        <v>24</v>
      </c>
    </row>
    <row r="12" spans="1:3" ht="15" thickBot="1" x14ac:dyDescent="0.35">
      <c r="A12" s="2" t="s">
        <v>7</v>
      </c>
      <c r="B12" s="3">
        <v>8000</v>
      </c>
      <c r="C12" s="8" t="s">
        <v>21</v>
      </c>
    </row>
    <row r="13" spans="1:3" ht="15" thickBot="1" x14ac:dyDescent="0.35">
      <c r="A13" s="4" t="s">
        <v>8</v>
      </c>
      <c r="B13" s="5">
        <v>3500</v>
      </c>
      <c r="C13" s="8"/>
    </row>
    <row r="14" spans="1:3" ht="15" thickBot="1" x14ac:dyDescent="0.35">
      <c r="A14" s="4" t="s">
        <v>9</v>
      </c>
      <c r="B14" s="5">
        <v>25000</v>
      </c>
      <c r="C14" s="8" t="s">
        <v>19</v>
      </c>
    </row>
    <row r="15" spans="1:3" ht="15" thickBot="1" x14ac:dyDescent="0.35">
      <c r="A15" s="6" t="s">
        <v>11</v>
      </c>
      <c r="B15" s="7">
        <f>SUM(B3:B14)</f>
        <v>519600</v>
      </c>
      <c r="C15" s="8"/>
    </row>
    <row r="17" spans="3:4" x14ac:dyDescent="0.3">
      <c r="C17" t="s">
        <v>43</v>
      </c>
      <c r="D17" t="s">
        <v>43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458A-B1F8-43B1-A152-4D3A26CA96ED}">
  <dimension ref="A1:C10"/>
  <sheetViews>
    <sheetView workbookViewId="0">
      <selection activeCell="G16" sqref="G16"/>
    </sheetView>
  </sheetViews>
  <sheetFormatPr defaultRowHeight="14.4" x14ac:dyDescent="0.3"/>
  <cols>
    <col min="1" max="1" width="31.44140625" customWidth="1"/>
    <col min="2" max="2" width="46.44140625" customWidth="1"/>
    <col min="3" max="3" width="12.109375" bestFit="1" customWidth="1"/>
  </cols>
  <sheetData>
    <row r="1" spans="1:3" ht="15" thickBot="1" x14ac:dyDescent="0.35">
      <c r="A1" s="66" t="s">
        <v>25</v>
      </c>
      <c r="B1" s="67"/>
    </row>
    <row r="2" spans="1:3" ht="15" thickBot="1" x14ac:dyDescent="0.35">
      <c r="A2" s="1" t="s">
        <v>26</v>
      </c>
      <c r="B2" s="1" t="s">
        <v>27</v>
      </c>
      <c r="C2" t="s">
        <v>36</v>
      </c>
    </row>
    <row r="3" spans="1:3" ht="15" thickBot="1" x14ac:dyDescent="0.35">
      <c r="A3" s="2" t="s">
        <v>33</v>
      </c>
      <c r="B3" s="2" t="s">
        <v>34</v>
      </c>
      <c r="C3" s="10">
        <f>12000*10</f>
        <v>120000</v>
      </c>
    </row>
    <row r="4" spans="1:3" ht="21" thickBot="1" x14ac:dyDescent="0.35">
      <c r="A4" s="4" t="s">
        <v>8</v>
      </c>
      <c r="B4" s="4" t="s">
        <v>35</v>
      </c>
      <c r="C4" s="10">
        <v>3500</v>
      </c>
    </row>
    <row r="5" spans="1:3" ht="15" thickBot="1" x14ac:dyDescent="0.35">
      <c r="A5" s="2" t="s">
        <v>37</v>
      </c>
      <c r="B5" s="2"/>
      <c r="C5" s="10">
        <v>48000</v>
      </c>
    </row>
    <row r="6" spans="1:3" ht="15" thickBot="1" x14ac:dyDescent="0.35">
      <c r="A6" s="4" t="s">
        <v>38</v>
      </c>
      <c r="B6" s="4" t="s">
        <v>39</v>
      </c>
      <c r="C6" s="10">
        <v>6000</v>
      </c>
    </row>
    <row r="7" spans="1:3" ht="15" thickBot="1" x14ac:dyDescent="0.35">
      <c r="A7" s="2" t="s">
        <v>74</v>
      </c>
      <c r="B7" s="2" t="s">
        <v>32</v>
      </c>
      <c r="C7" s="10">
        <v>12000</v>
      </c>
    </row>
    <row r="8" spans="1:3" ht="21" thickBot="1" x14ac:dyDescent="0.35">
      <c r="A8" s="4" t="s">
        <v>30</v>
      </c>
      <c r="B8" s="4" t="s">
        <v>31</v>
      </c>
      <c r="C8" s="10">
        <f>14*20*365</f>
        <v>102200</v>
      </c>
    </row>
    <row r="9" spans="1:3" ht="21" thickBot="1" x14ac:dyDescent="0.35">
      <c r="A9" s="2" t="s">
        <v>28</v>
      </c>
      <c r="B9" s="2" t="s">
        <v>29</v>
      </c>
      <c r="C9" s="11">
        <v>60000</v>
      </c>
    </row>
    <row r="10" spans="1:3" x14ac:dyDescent="0.3">
      <c r="C10" s="10">
        <f>SUM(C3:C9)</f>
        <v>351700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F71E-3396-466A-8624-E988A092CF65}">
  <dimension ref="A1:M33"/>
  <sheetViews>
    <sheetView tabSelected="1" zoomScaleNormal="100" workbookViewId="0">
      <selection activeCell="L3" sqref="L3"/>
    </sheetView>
  </sheetViews>
  <sheetFormatPr defaultRowHeight="14.4" x14ac:dyDescent="0.3"/>
  <cols>
    <col min="1" max="1" width="23.88671875" customWidth="1"/>
    <col min="2" max="11" width="11.33203125" customWidth="1"/>
    <col min="12" max="12" width="9.5546875" bestFit="1" customWidth="1"/>
  </cols>
  <sheetData>
    <row r="1" spans="1:13" ht="75.599999999999994" customHeight="1" thickBot="1" x14ac:dyDescent="0.55000000000000004">
      <c r="A1" s="68" t="s">
        <v>63</v>
      </c>
      <c r="B1" s="68"/>
      <c r="C1" s="69"/>
      <c r="D1" s="46"/>
      <c r="E1" s="56"/>
      <c r="F1" s="57"/>
      <c r="G1" s="56"/>
      <c r="H1" s="56"/>
      <c r="I1" s="56"/>
      <c r="J1" s="56"/>
      <c r="K1" s="56"/>
    </row>
    <row r="2" spans="1:13" ht="21" customHeight="1" x14ac:dyDescent="0.3">
      <c r="A2" s="47" t="s">
        <v>60</v>
      </c>
      <c r="B2" s="47" t="s">
        <v>61</v>
      </c>
      <c r="C2" s="48"/>
      <c r="D2" s="58"/>
      <c r="E2" s="22"/>
      <c r="F2" s="44"/>
      <c r="G2" s="22"/>
      <c r="H2" s="22"/>
      <c r="I2" s="22"/>
      <c r="J2" s="22"/>
      <c r="K2" s="22"/>
    </row>
    <row r="3" spans="1:13" ht="16.8" customHeight="1" thickBot="1" x14ac:dyDescent="0.55000000000000004">
      <c r="A3" s="49" t="s">
        <v>62</v>
      </c>
      <c r="B3" s="49">
        <v>44109</v>
      </c>
      <c r="C3" s="50"/>
      <c r="D3" s="59"/>
      <c r="E3" s="60"/>
      <c r="F3" s="61"/>
      <c r="G3" s="62"/>
      <c r="H3" s="62"/>
      <c r="I3" s="62"/>
      <c r="J3" s="62"/>
      <c r="K3" s="63"/>
    </row>
    <row r="4" spans="1:13" ht="31.2" thickBot="1" x14ac:dyDescent="0.35">
      <c r="A4" s="45" t="s">
        <v>40</v>
      </c>
      <c r="B4" s="45" t="s">
        <v>50</v>
      </c>
      <c r="C4" s="45" t="s">
        <v>41</v>
      </c>
      <c r="D4" s="45" t="s">
        <v>44</v>
      </c>
      <c r="E4" s="45" t="s">
        <v>42</v>
      </c>
      <c r="F4" s="45" t="s">
        <v>48</v>
      </c>
      <c r="G4" s="45" t="s">
        <v>49</v>
      </c>
      <c r="H4" s="45" t="s">
        <v>51</v>
      </c>
      <c r="I4" s="45" t="s">
        <v>52</v>
      </c>
      <c r="J4" s="13" t="s">
        <v>54</v>
      </c>
      <c r="K4" s="13" t="s">
        <v>55</v>
      </c>
    </row>
    <row r="5" spans="1:13" ht="15" thickBot="1" x14ac:dyDescent="0.35">
      <c r="A5" s="24" t="s">
        <v>56</v>
      </c>
      <c r="B5" s="54"/>
      <c r="C5" s="54"/>
      <c r="D5" s="54"/>
      <c r="E5" s="54"/>
      <c r="F5" s="54"/>
      <c r="G5" s="54"/>
      <c r="H5" s="54"/>
      <c r="I5" s="54"/>
      <c r="J5" s="55"/>
      <c r="K5" s="55"/>
    </row>
    <row r="6" spans="1:13" ht="21" thickBot="1" x14ac:dyDescent="0.35">
      <c r="A6" s="2" t="s">
        <v>47</v>
      </c>
      <c r="B6" s="51">
        <v>140</v>
      </c>
      <c r="C6" s="52">
        <f>E6/52</f>
        <v>7700</v>
      </c>
      <c r="D6" s="52">
        <f>E6/12</f>
        <v>33366.666666666664</v>
      </c>
      <c r="E6" s="52">
        <f>2*((14*26*140)+(14*26*140)*(0.25)+(6*5*140*26)+(6*5*(140*26)*(0.25)))</f>
        <v>400400</v>
      </c>
      <c r="F6" s="52">
        <v>351700</v>
      </c>
      <c r="G6" s="52">
        <f>E6-F6</f>
        <v>48700</v>
      </c>
      <c r="H6" s="52">
        <f>G6*0.5</f>
        <v>24350</v>
      </c>
      <c r="I6" s="53">
        <f>G6*0.5</f>
        <v>24350</v>
      </c>
      <c r="J6" s="31">
        <f>H6/Sheet1!B15</f>
        <v>4.6862971516551194E-2</v>
      </c>
      <c r="K6" s="31">
        <v>0.1</v>
      </c>
    </row>
    <row r="7" spans="1:13" ht="21" thickBot="1" x14ac:dyDescent="0.35">
      <c r="A7" s="4" t="s">
        <v>45</v>
      </c>
      <c r="B7" s="5">
        <v>140</v>
      </c>
      <c r="C7" s="15">
        <f>E7/52</f>
        <v>9283.0769230769238</v>
      </c>
      <c r="D7" s="15">
        <f>E7/12</f>
        <v>40226.666666666664</v>
      </c>
      <c r="E7" s="18">
        <f>2*((14*34*140)+(6*5*140*34)+(30*18*140)*(0.4)+(6*5*140)*0.4)</f>
        <v>482720</v>
      </c>
      <c r="F7" s="18">
        <f>F6*1.05</f>
        <v>369285</v>
      </c>
      <c r="G7" s="18">
        <f t="shared" ref="G7:G21" si="0">E7-F7</f>
        <v>113435</v>
      </c>
      <c r="H7" s="18">
        <f>G7*0.5</f>
        <v>56717.5</v>
      </c>
      <c r="I7" s="26">
        <f>G7*0.5</f>
        <v>56717.5</v>
      </c>
      <c r="J7" s="30">
        <f>H7/Sheet1!B15</f>
        <v>0.10915608160123172</v>
      </c>
      <c r="K7" s="30">
        <f t="shared" ref="K7:K20" si="1">J7*2</f>
        <v>0.21831216320246344</v>
      </c>
    </row>
    <row r="8" spans="1:13" ht="21" thickBot="1" x14ac:dyDescent="0.35">
      <c r="A8" s="2" t="s">
        <v>46</v>
      </c>
      <c r="B8" s="3">
        <v>140</v>
      </c>
      <c r="C8" s="14">
        <f>E8/52</f>
        <v>11040.615384615385</v>
      </c>
      <c r="D8" s="14">
        <f>E8/12</f>
        <v>47842.666666666664</v>
      </c>
      <c r="E8" s="14">
        <f>2*((14*43*140)+(6*5*140*43)+(14*9*140)*(0.4)+(6*5*140*9)*0.4)</f>
        <v>574112</v>
      </c>
      <c r="F8" s="14">
        <f t="shared" ref="F8:F21" si="2">F7*1.05</f>
        <v>387749.25</v>
      </c>
      <c r="G8" s="14">
        <f t="shared" si="0"/>
        <v>186362.75</v>
      </c>
      <c r="H8" s="14">
        <f>G8*0.5</f>
        <v>93181.375</v>
      </c>
      <c r="I8" s="25">
        <f>G8*0.5</f>
        <v>93181.375</v>
      </c>
      <c r="J8" s="29">
        <f>H8/Sheet1!B15</f>
        <v>0.17933290030792917</v>
      </c>
      <c r="K8" s="29">
        <f t="shared" si="1"/>
        <v>0.35866580061585834</v>
      </c>
    </row>
    <row r="9" spans="1:13" ht="15" thickBot="1" x14ac:dyDescent="0.35">
      <c r="A9" s="4" t="s">
        <v>53</v>
      </c>
      <c r="B9" s="5">
        <v>140</v>
      </c>
      <c r="C9" s="15">
        <f>E9/52</f>
        <v>12320</v>
      </c>
      <c r="D9" s="15">
        <f>E9/12</f>
        <v>53386.666666666664</v>
      </c>
      <c r="E9" s="18">
        <f>2*((14*52*140)+(6*5*140*52))</f>
        <v>640640</v>
      </c>
      <c r="F9" s="18">
        <f t="shared" si="2"/>
        <v>407136.71250000002</v>
      </c>
      <c r="G9" s="18">
        <f t="shared" si="0"/>
        <v>233503.28749999998</v>
      </c>
      <c r="H9" s="18">
        <f>G9*0.5</f>
        <v>116751.64374999999</v>
      </c>
      <c r="I9" s="26">
        <f>G9*0.5</f>
        <v>116751.64374999999</v>
      </c>
      <c r="J9" s="30">
        <f>H9/Sheet1!B15</f>
        <v>0.22469523431485755</v>
      </c>
      <c r="K9" s="30">
        <f t="shared" si="1"/>
        <v>0.4493904686297151</v>
      </c>
    </row>
    <row r="10" spans="1:13" ht="15" thickBot="1" x14ac:dyDescent="0.35">
      <c r="A10" s="4"/>
      <c r="B10" s="5"/>
      <c r="C10" s="15"/>
      <c r="D10" s="15"/>
      <c r="E10" s="18"/>
      <c r="F10" s="18"/>
      <c r="G10" s="18"/>
      <c r="H10" s="18"/>
      <c r="I10" s="26"/>
      <c r="J10" s="33"/>
      <c r="K10" s="33"/>
    </row>
    <row r="11" spans="1:13" ht="15" thickBot="1" x14ac:dyDescent="0.35">
      <c r="A11" s="23" t="s">
        <v>57</v>
      </c>
      <c r="B11" s="16"/>
      <c r="C11" s="14" t="s">
        <v>43</v>
      </c>
      <c r="D11" s="14" t="s">
        <v>43</v>
      </c>
      <c r="E11" s="14" t="s">
        <v>43</v>
      </c>
      <c r="F11" s="14" t="s">
        <v>43</v>
      </c>
      <c r="G11" s="14"/>
      <c r="H11" s="14" t="s">
        <v>43</v>
      </c>
      <c r="I11" s="25" t="s">
        <v>43</v>
      </c>
      <c r="J11" s="13" t="s">
        <v>54</v>
      </c>
      <c r="K11" s="13" t="s">
        <v>55</v>
      </c>
    </row>
    <row r="12" spans="1:13" ht="21" thickBot="1" x14ac:dyDescent="0.35">
      <c r="A12" s="34" t="s">
        <v>47</v>
      </c>
      <c r="B12" s="35">
        <v>155</v>
      </c>
      <c r="C12" s="36">
        <f>E12/52</f>
        <v>8525</v>
      </c>
      <c r="D12" s="36">
        <f>E12/12</f>
        <v>36941.666666666664</v>
      </c>
      <c r="E12" s="36">
        <f>2*((14*26*155)+(6*5*155*26)+(14*26*155)*(0.25)+(6*5*155*26)*0.25)</f>
        <v>443300</v>
      </c>
      <c r="F12" s="36">
        <v>351700</v>
      </c>
      <c r="G12" s="36">
        <f t="shared" si="0"/>
        <v>91600</v>
      </c>
      <c r="H12" s="36">
        <f>G12*0.5</f>
        <v>45800</v>
      </c>
      <c r="I12" s="37">
        <f>G12*0.5</f>
        <v>45800</v>
      </c>
      <c r="J12" s="38">
        <f>H12/Sheet1!B15</f>
        <v>8.8144726712856045E-2</v>
      </c>
      <c r="K12" s="38">
        <f>J12*2</f>
        <v>0.17628945342571209</v>
      </c>
    </row>
    <row r="13" spans="1:13" ht="23.4" thickBot="1" x14ac:dyDescent="0.35">
      <c r="A13" s="39" t="s">
        <v>45</v>
      </c>
      <c r="B13" s="40">
        <v>155</v>
      </c>
      <c r="C13" s="41">
        <f>E13/52</f>
        <v>10035.846153846154</v>
      </c>
      <c r="D13" s="41">
        <f>E13/12</f>
        <v>43488.666666666664</v>
      </c>
      <c r="E13" s="41">
        <f>2*((14*34*155)+(6*5*140*34)+(14*18*140)*(0.4)+(6*5*140*18)*0.4)</f>
        <v>521864</v>
      </c>
      <c r="F13" s="41">
        <f t="shared" si="2"/>
        <v>369285</v>
      </c>
      <c r="G13" s="41">
        <f t="shared" si="0"/>
        <v>152579</v>
      </c>
      <c r="H13" s="41">
        <f>G13*0.5</f>
        <v>76289.5</v>
      </c>
      <c r="I13" s="42">
        <f>G13*0.5</f>
        <v>76289.5</v>
      </c>
      <c r="J13" s="43">
        <f>H13/Sheet1!B15</f>
        <v>0.1468235180908391</v>
      </c>
      <c r="K13" s="43">
        <v>0.3</v>
      </c>
      <c r="L13" s="9"/>
      <c r="M13" s="12"/>
    </row>
    <row r="14" spans="1:13" ht="21" thickBot="1" x14ac:dyDescent="0.35">
      <c r="A14" s="34" t="s">
        <v>46</v>
      </c>
      <c r="B14" s="35">
        <v>155</v>
      </c>
      <c r="C14" s="36">
        <f>E14/52</f>
        <v>12223.538461538461</v>
      </c>
      <c r="D14" s="36">
        <f>E14/12</f>
        <v>52968.666666666664</v>
      </c>
      <c r="E14" s="36">
        <f>2*((14*43*155)+(6*5*155*43)+(14*9*155)*(0.4)+(6*5*155*9)*0.4)</f>
        <v>635624</v>
      </c>
      <c r="F14" s="36">
        <f t="shared" si="2"/>
        <v>387749.25</v>
      </c>
      <c r="G14" s="36">
        <f t="shared" si="0"/>
        <v>247874.75</v>
      </c>
      <c r="H14" s="36">
        <f>G14*0.5</f>
        <v>123937.375</v>
      </c>
      <c r="I14" s="37">
        <f>G14*0.5</f>
        <v>123937.375</v>
      </c>
      <c r="J14" s="38">
        <f>H14/Sheet1!B15</f>
        <v>0.23852458622016937</v>
      </c>
      <c r="K14" s="38">
        <f t="shared" si="1"/>
        <v>0.47704917244033873</v>
      </c>
    </row>
    <row r="15" spans="1:13" ht="15" thickBot="1" x14ac:dyDescent="0.35">
      <c r="A15" s="34" t="s">
        <v>53</v>
      </c>
      <c r="B15" s="35"/>
      <c r="C15" s="36">
        <f>E15/52</f>
        <v>13640</v>
      </c>
      <c r="D15" s="36">
        <f>E15/12</f>
        <v>59106.666666666664</v>
      </c>
      <c r="E15" s="36">
        <f>2*((14*52*155)+(6*5*155*52))</f>
        <v>709280</v>
      </c>
      <c r="F15" s="36">
        <f t="shared" si="2"/>
        <v>407136.71250000002</v>
      </c>
      <c r="G15" s="36">
        <f t="shared" si="0"/>
        <v>302143.28749999998</v>
      </c>
      <c r="H15" s="36">
        <f>G15*0.5</f>
        <v>151071.64374999999</v>
      </c>
      <c r="I15" s="37">
        <f>G15*0.5</f>
        <v>151071.64374999999</v>
      </c>
      <c r="J15" s="38">
        <f>H15/Sheet1!B15</f>
        <v>0.29074604262894532</v>
      </c>
      <c r="K15" s="38">
        <f t="shared" si="1"/>
        <v>0.58149208525789065</v>
      </c>
    </row>
    <row r="16" spans="1:13" s="22" customFormat="1" ht="15" thickBot="1" x14ac:dyDescent="0.35">
      <c r="A16" s="19"/>
      <c r="B16" s="20"/>
      <c r="C16" s="21"/>
      <c r="D16" s="21"/>
      <c r="E16" s="21"/>
      <c r="F16" s="21"/>
      <c r="G16" s="21"/>
      <c r="H16" s="21"/>
      <c r="I16" s="27"/>
      <c r="J16" s="32"/>
      <c r="K16" s="32"/>
    </row>
    <row r="17" spans="1:11" ht="15" thickBot="1" x14ac:dyDescent="0.35">
      <c r="A17" s="24" t="s">
        <v>58</v>
      </c>
      <c r="B17" s="17"/>
      <c r="C17" s="15" t="s">
        <v>43</v>
      </c>
      <c r="D17" s="15" t="s">
        <v>43</v>
      </c>
      <c r="E17" s="15" t="s">
        <v>43</v>
      </c>
      <c r="F17" s="15" t="s">
        <v>43</v>
      </c>
      <c r="G17" s="15"/>
      <c r="H17" s="15" t="s">
        <v>43</v>
      </c>
      <c r="I17" s="28" t="s">
        <v>43</v>
      </c>
      <c r="J17" s="13" t="s">
        <v>54</v>
      </c>
      <c r="K17" s="13" t="s">
        <v>55</v>
      </c>
    </row>
    <row r="18" spans="1:11" ht="21" thickBot="1" x14ac:dyDescent="0.35">
      <c r="A18" s="2" t="s">
        <v>47</v>
      </c>
      <c r="B18" s="3">
        <v>170</v>
      </c>
      <c r="C18" s="14">
        <f>E18/52</f>
        <v>9350</v>
      </c>
      <c r="D18" s="14">
        <f>E18/12</f>
        <v>40516.666666666664</v>
      </c>
      <c r="E18" s="14">
        <f>2*((14*26*170)+(6*5*170*26)+(14*26*170)*(0.25)+(6*5*170*26)*0.25)</f>
        <v>486200</v>
      </c>
      <c r="F18" s="14">
        <v>351700</v>
      </c>
      <c r="G18" s="14">
        <f t="shared" si="0"/>
        <v>134500</v>
      </c>
      <c r="H18" s="14">
        <f>G18*0.5</f>
        <v>67250</v>
      </c>
      <c r="I18" s="25">
        <f>G18*0.5</f>
        <v>67250</v>
      </c>
      <c r="J18" s="29">
        <f>H18/Sheet1!B15</f>
        <v>0.1294264819091609</v>
      </c>
      <c r="K18" s="29">
        <f t="shared" si="1"/>
        <v>0.25885296381832179</v>
      </c>
    </row>
    <row r="19" spans="1:11" ht="21" thickBot="1" x14ac:dyDescent="0.35">
      <c r="A19" s="4" t="s">
        <v>45</v>
      </c>
      <c r="B19" s="5">
        <v>170</v>
      </c>
      <c r="C19" s="18">
        <f>E19/52</f>
        <v>10807.076923076924</v>
      </c>
      <c r="D19" s="18">
        <f>E19/12</f>
        <v>46830.666666666664</v>
      </c>
      <c r="E19" s="18">
        <f>2*((14*34*155)+(6*5*155*34)+(14*18*155)*(0.4)+(6*5*155*18)*0.4)</f>
        <v>561968</v>
      </c>
      <c r="F19" s="18">
        <f t="shared" si="2"/>
        <v>369285</v>
      </c>
      <c r="G19" s="18">
        <f t="shared" si="0"/>
        <v>192683</v>
      </c>
      <c r="H19" s="18">
        <f>G19*0.5</f>
        <v>96341.5</v>
      </c>
      <c r="I19" s="26">
        <f>G19*0.5</f>
        <v>96341.5</v>
      </c>
      <c r="J19" s="30">
        <f>H19/Sheet1!B15</f>
        <v>0.18541474210931486</v>
      </c>
      <c r="K19" s="30">
        <v>0.38</v>
      </c>
    </row>
    <row r="20" spans="1:11" ht="21" thickBot="1" x14ac:dyDescent="0.35">
      <c r="A20" s="2" t="s">
        <v>46</v>
      </c>
      <c r="B20" s="3">
        <v>170</v>
      </c>
      <c r="C20" s="14">
        <f>E20/52</f>
        <v>13406.461538461539</v>
      </c>
      <c r="D20" s="14">
        <f>E20/12</f>
        <v>58094.666666666664</v>
      </c>
      <c r="E20" s="14">
        <f>2*((14*43*170)+(6*5*170*43)+(14*9*170)*(0.4)+(6*5*170*9)*0.4)</f>
        <v>697136</v>
      </c>
      <c r="F20" s="14">
        <f t="shared" si="2"/>
        <v>387749.25</v>
      </c>
      <c r="G20" s="14">
        <f t="shared" si="0"/>
        <v>309386.75</v>
      </c>
      <c r="H20" s="14">
        <f>G20*0.5</f>
        <v>154693.375</v>
      </c>
      <c r="I20" s="25">
        <f>G20*0.5</f>
        <v>154693.375</v>
      </c>
      <c r="J20" s="29">
        <f>H20/Sheet1!B15</f>
        <v>0.29771627213240953</v>
      </c>
      <c r="K20" s="29">
        <f t="shared" si="1"/>
        <v>0.59543254426481906</v>
      </c>
    </row>
    <row r="21" spans="1:11" ht="15" thickBot="1" x14ac:dyDescent="0.35">
      <c r="A21" s="4" t="s">
        <v>53</v>
      </c>
      <c r="B21" s="5">
        <v>170</v>
      </c>
      <c r="C21" s="15">
        <f>E21/52</f>
        <v>14960</v>
      </c>
      <c r="D21" s="15">
        <f>E21/12</f>
        <v>64826.666666666664</v>
      </c>
      <c r="E21" s="18">
        <f>2*((14*52*170)+(6*5*170*52))</f>
        <v>777920</v>
      </c>
      <c r="F21" s="18">
        <f t="shared" si="2"/>
        <v>407136.71250000002</v>
      </c>
      <c r="G21" s="18">
        <f t="shared" si="0"/>
        <v>370783.28749999998</v>
      </c>
      <c r="H21" s="18">
        <f>G21*0.5</f>
        <v>185391.64374999999</v>
      </c>
      <c r="I21" s="26">
        <f>G21*0.5</f>
        <v>185391.64374999999</v>
      </c>
      <c r="J21" s="30">
        <f>H21/Sheet1!B15</f>
        <v>0.35679685094303309</v>
      </c>
      <c r="K21" s="30">
        <v>0.72</v>
      </c>
    </row>
    <row r="23" spans="1:11" x14ac:dyDescent="0.3">
      <c r="A23" s="64" t="s">
        <v>64</v>
      </c>
    </row>
    <row r="24" spans="1:11" x14ac:dyDescent="0.3">
      <c r="A24" s="65" t="s">
        <v>53</v>
      </c>
      <c r="B24" s="65" t="s">
        <v>65</v>
      </c>
      <c r="C24" s="65"/>
      <c r="D24" s="65"/>
      <c r="E24" s="65"/>
    </row>
    <row r="25" spans="1:11" x14ac:dyDescent="0.3">
      <c r="A25" s="65"/>
      <c r="B25" s="65" t="s">
        <v>66</v>
      </c>
      <c r="C25" s="65"/>
      <c r="D25" s="65"/>
      <c r="E25" s="65"/>
    </row>
    <row r="27" spans="1:11" x14ac:dyDescent="0.3">
      <c r="A27" s="65" t="s">
        <v>69</v>
      </c>
      <c r="B27" s="65" t="s">
        <v>67</v>
      </c>
      <c r="C27" s="65"/>
    </row>
    <row r="28" spans="1:11" x14ac:dyDescent="0.3">
      <c r="A28" s="65" t="s">
        <v>70</v>
      </c>
      <c r="B28" s="65" t="s">
        <v>68</v>
      </c>
      <c r="C28" s="65"/>
    </row>
    <row r="29" spans="1:11" x14ac:dyDescent="0.3">
      <c r="A29" s="65" t="s">
        <v>71</v>
      </c>
      <c r="B29" s="65" t="s">
        <v>72</v>
      </c>
      <c r="C29" s="65"/>
    </row>
    <row r="31" spans="1:11" x14ac:dyDescent="0.3">
      <c r="A31" s="65" t="s">
        <v>50</v>
      </c>
      <c r="B31" s="65" t="s">
        <v>73</v>
      </c>
      <c r="C31" s="65"/>
      <c r="D31" s="65"/>
    </row>
    <row r="33" spans="1:1" x14ac:dyDescent="0.3">
      <c r="A33" s="65" t="s">
        <v>54</v>
      </c>
    </row>
  </sheetData>
  <mergeCells count="1">
    <mergeCell ref="A1:C1"/>
  </mergeCells>
  <pageMargins left="0.7" right="0.7" top="0.75" bottom="0.75" header="0.3" footer="0.3"/>
  <pageSetup orientation="portrait" r:id="rId1"/>
  <headerFooter>
    <oddHeader xml:space="preserve">&amp;C&amp;20&amp;K000000URBAN SPORTSPLEX LP&amp;11&amp;K01+000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Thinkpad</dc:creator>
  <cp:lastModifiedBy>Dave Thinkpad</cp:lastModifiedBy>
  <dcterms:created xsi:type="dcterms:W3CDTF">2020-10-04T21:30:21Z</dcterms:created>
  <dcterms:modified xsi:type="dcterms:W3CDTF">2020-10-17T03:14:17Z</dcterms:modified>
</cp:coreProperties>
</file>